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roger\Documents\0Climate Act\2 Scoping Plan\Buildings\"/>
    </mc:Choice>
  </mc:AlternateContent>
  <xr:revisionPtr revIDLastSave="0" documentId="13_ncr:1_{6682B165-CB16-473E-8B7F-D8B3BE8FB155}" xr6:coauthVersionLast="47" xr6:coauthVersionMax="47" xr10:uidLastSave="{00000000-0000-0000-0000-000000000000}"/>
  <bookViews>
    <workbookView xWindow="-108" yWindow="-108" windowWidth="23256" windowHeight="12576" activeTab="4" xr2:uid="{F892D222-0D4C-4E54-817C-7566DB9E1F67}"/>
  </bookViews>
  <sheets>
    <sheet name="Emissions" sheetId="7" r:id="rId1"/>
    <sheet name="2018 Stocks" sheetId="1" r:id="rId2"/>
    <sheet name="Bldg Shell Costs" sheetId="4" r:id="rId3"/>
    <sheet name="Furnace Costs" sheetId="2" r:id="rId4"/>
    <sheet name="Single Family Cost" sheetId="6" r:id="rId5"/>
  </sheets>
  <definedNames>
    <definedName name="Gross_Total">Emissions!$C$49</definedName>
    <definedName name="Large">'Bldg Shell Costs'!$AL$9</definedName>
    <definedName name="Single">'Bldg Shell Costs'!$AL$10</definedName>
    <definedName name="Small">'Bldg Shell Costs'!$AL$11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N71" i="7" l="1"/>
  <c r="N70" i="7"/>
  <c r="M70" i="7" s="1"/>
  <c r="N69" i="7"/>
  <c r="N68" i="7"/>
  <c r="M68" i="7" s="1"/>
  <c r="N67" i="7"/>
  <c r="N66" i="7"/>
  <c r="M66" i="7"/>
  <c r="N65" i="7"/>
  <c r="M65" i="7"/>
  <c r="N64" i="7"/>
  <c r="N63" i="7"/>
  <c r="M63" i="7" s="1"/>
  <c r="N62" i="7"/>
  <c r="N61" i="7"/>
  <c r="N60" i="7"/>
  <c r="M58" i="7" s="1"/>
  <c r="N59" i="7"/>
  <c r="N58" i="7"/>
  <c r="N57" i="7"/>
  <c r="N56" i="7"/>
  <c r="N55" i="7"/>
  <c r="N54" i="7"/>
  <c r="N53" i="7"/>
  <c r="N52" i="7"/>
  <c r="N51" i="7"/>
  <c r="N50" i="7"/>
  <c r="N49" i="7"/>
  <c r="M49" i="7" s="1"/>
  <c r="N48" i="7"/>
  <c r="N47" i="7"/>
  <c r="N46" i="7"/>
  <c r="N45" i="7"/>
  <c r="N44" i="7"/>
  <c r="N43" i="7"/>
  <c r="M43" i="7"/>
  <c r="M38" i="7"/>
  <c r="M36" i="7"/>
  <c r="M34" i="7"/>
  <c r="M33" i="7"/>
  <c r="M31" i="7"/>
  <c r="N30" i="7"/>
  <c r="D29" i="7"/>
  <c r="M25" i="7"/>
  <c r="E19" i="7"/>
  <c r="M16" i="7"/>
  <c r="E15" i="7"/>
  <c r="E13" i="7"/>
  <c r="M10" i="7"/>
  <c r="G12" i="6" l="1"/>
  <c r="G13" i="6" s="1"/>
  <c r="F12" i="6"/>
  <c r="F13" i="6" s="1"/>
  <c r="E12" i="6"/>
  <c r="E13" i="6" s="1"/>
  <c r="D12" i="6"/>
  <c r="D13" i="6" s="1"/>
  <c r="AI73" i="4"/>
  <c r="AI70" i="4"/>
  <c r="AI67" i="4"/>
  <c r="E12" i="2"/>
  <c r="F12" i="2"/>
  <c r="G12" i="2"/>
  <c r="H12" i="2"/>
  <c r="I12" i="2"/>
  <c r="D12" i="2"/>
  <c r="AO81" i="4"/>
  <c r="AO84" i="4" s="1"/>
  <c r="AN81" i="4"/>
  <c r="AN84" i="4" s="1"/>
  <c r="AM81" i="4"/>
  <c r="AM84" i="4" s="1"/>
  <c r="AL81" i="4"/>
  <c r="AL84" i="4" s="1"/>
  <c r="AO80" i="4"/>
  <c r="AO83" i="4" s="1"/>
  <c r="AN80" i="4"/>
  <c r="AN83" i="4" s="1"/>
  <c r="AM80" i="4"/>
  <c r="AM83" i="4" s="1"/>
  <c r="AL80" i="4"/>
  <c r="AL83" i="4" s="1"/>
  <c r="AO79" i="4"/>
  <c r="AO82" i="4" s="1"/>
  <c r="AN79" i="4"/>
  <c r="AN82" i="4" s="1"/>
  <c r="AM79" i="4"/>
  <c r="AM82" i="4" s="1"/>
  <c r="AL79" i="4"/>
  <c r="AL82" i="4" s="1"/>
  <c r="AK83" i="4"/>
  <c r="AK84" i="4"/>
  <c r="AK82" i="4"/>
  <c r="AK81" i="4"/>
  <c r="AK80" i="4"/>
  <c r="AK79" i="4"/>
  <c r="AK12" i="4"/>
  <c r="AL11" i="4" s="1"/>
  <c r="F28" i="6" l="1"/>
  <c r="F27" i="6"/>
  <c r="F26" i="6"/>
  <c r="F25" i="6"/>
  <c r="F24" i="6"/>
  <c r="F23" i="6"/>
  <c r="F22" i="6"/>
  <c r="F21" i="6"/>
  <c r="F20" i="6"/>
  <c r="F19" i="6"/>
  <c r="F18" i="6"/>
  <c r="F17" i="6"/>
  <c r="G28" i="6"/>
  <c r="G27" i="6"/>
  <c r="G26" i="6"/>
  <c r="G25" i="6"/>
  <c r="G24" i="6"/>
  <c r="G23" i="6"/>
  <c r="G22" i="6"/>
  <c r="G21" i="6"/>
  <c r="G20" i="6"/>
  <c r="G19" i="6"/>
  <c r="G18" i="6"/>
  <c r="G17" i="6"/>
  <c r="D28" i="6"/>
  <c r="D25" i="6"/>
  <c r="D23" i="6"/>
  <c r="D21" i="6"/>
  <c r="D19" i="6"/>
  <c r="D17" i="6"/>
  <c r="D27" i="6"/>
  <c r="D26" i="6"/>
  <c r="D24" i="6"/>
  <c r="D22" i="6"/>
  <c r="D20" i="6"/>
  <c r="D18" i="6"/>
  <c r="E28" i="6"/>
  <c r="E27" i="6"/>
  <c r="E26" i="6"/>
  <c r="E25" i="6"/>
  <c r="E24" i="6"/>
  <c r="E23" i="6"/>
  <c r="E22" i="6"/>
  <c r="E21" i="6"/>
  <c r="E20" i="6"/>
  <c r="E19" i="6"/>
  <c r="E18" i="6"/>
  <c r="E17" i="6"/>
  <c r="AL72" i="4"/>
  <c r="AL56" i="4"/>
  <c r="AL36" i="4"/>
  <c r="AL20" i="4"/>
  <c r="AL75" i="4"/>
  <c r="AL59" i="4"/>
  <c r="AL43" i="4"/>
  <c r="AL23" i="4"/>
  <c r="AL49" i="4"/>
  <c r="AL17" i="4"/>
  <c r="AL46" i="4"/>
  <c r="AL69" i="4"/>
  <c r="AL33" i="4"/>
  <c r="AL62" i="4"/>
  <c r="AL30" i="4"/>
  <c r="AO75" i="4"/>
  <c r="AT75" i="4" s="1"/>
  <c r="AK75" i="4"/>
  <c r="AN72" i="4"/>
  <c r="AM69" i="4"/>
  <c r="AO59" i="4"/>
  <c r="AT59" i="4" s="1"/>
  <c r="AK59" i="4"/>
  <c r="AN56" i="4"/>
  <c r="AM49" i="4"/>
  <c r="AR49" i="4" s="1"/>
  <c r="AO43" i="4"/>
  <c r="AT43" i="4" s="1"/>
  <c r="AK43" i="4"/>
  <c r="AN36" i="4"/>
  <c r="AM33" i="4"/>
  <c r="AO23" i="4"/>
  <c r="AT23" i="4" s="1"/>
  <c r="AN20" i="4"/>
  <c r="AM17" i="4"/>
  <c r="AR17" i="4" s="1"/>
  <c r="AK17" i="4"/>
  <c r="AN62" i="4"/>
  <c r="AM59" i="4"/>
  <c r="AK49" i="4"/>
  <c r="AN46" i="4"/>
  <c r="AK33" i="4"/>
  <c r="AK23" i="4"/>
  <c r="AN75" i="4"/>
  <c r="AM72" i="4"/>
  <c r="AR72" i="4" s="1"/>
  <c r="AO62" i="4"/>
  <c r="AT62" i="4" s="1"/>
  <c r="AK62" i="4"/>
  <c r="AN59" i="4"/>
  <c r="AM56" i="4"/>
  <c r="AR56" i="4" s="1"/>
  <c r="AO46" i="4"/>
  <c r="AT46" i="4" s="1"/>
  <c r="AK46" i="4"/>
  <c r="AN43" i="4"/>
  <c r="AM36" i="4"/>
  <c r="AO30" i="4"/>
  <c r="AT30" i="4" s="1"/>
  <c r="AK30" i="4"/>
  <c r="AN23" i="4"/>
  <c r="AM20" i="4"/>
  <c r="AK20" i="4"/>
  <c r="AO69" i="4"/>
  <c r="AO49" i="4"/>
  <c r="AO33" i="4"/>
  <c r="AO17" i="4"/>
  <c r="AT17" i="4" s="1"/>
  <c r="AM75" i="4"/>
  <c r="AR75" i="4" s="1"/>
  <c r="AO72" i="4"/>
  <c r="AT72" i="4" s="1"/>
  <c r="AK72" i="4"/>
  <c r="AN69" i="4"/>
  <c r="AS69" i="4" s="1"/>
  <c r="AM62" i="4"/>
  <c r="AR62" i="4" s="1"/>
  <c r="AO56" i="4"/>
  <c r="AT56" i="4" s="1"/>
  <c r="AK56" i="4"/>
  <c r="AN49" i="4"/>
  <c r="AS49" i="4" s="1"/>
  <c r="AM46" i="4"/>
  <c r="AO36" i="4"/>
  <c r="AT36" i="4" s="1"/>
  <c r="AK36" i="4"/>
  <c r="AN33" i="4"/>
  <c r="AS33" i="4" s="1"/>
  <c r="AM30" i="4"/>
  <c r="AR30" i="4" s="1"/>
  <c r="AO20" i="4"/>
  <c r="AN17" i="4"/>
  <c r="AS17" i="4" s="1"/>
  <c r="AM23" i="4"/>
  <c r="AK69" i="4"/>
  <c r="AM43" i="4"/>
  <c r="AN30" i="4"/>
  <c r="AL10" i="4"/>
  <c r="AL9" i="4"/>
  <c r="AQ36" i="4" l="1"/>
  <c r="AT69" i="4"/>
  <c r="AS20" i="4"/>
  <c r="AR69" i="4"/>
  <c r="AQ62" i="4"/>
  <c r="AQ17" i="4"/>
  <c r="AR59" i="4"/>
  <c r="AQ56" i="4"/>
  <c r="AL60" i="4"/>
  <c r="AL44" i="4"/>
  <c r="AL28" i="4"/>
  <c r="AL67" i="4"/>
  <c r="AL47" i="4"/>
  <c r="AL31" i="4"/>
  <c r="AL15" i="4"/>
  <c r="AL73" i="4"/>
  <c r="AL41" i="4"/>
  <c r="AL70" i="4"/>
  <c r="AL34" i="4"/>
  <c r="AL57" i="4"/>
  <c r="AL21" i="4"/>
  <c r="AL18" i="4"/>
  <c r="AL54" i="4"/>
  <c r="AQ69" i="4"/>
  <c r="AQ23" i="4"/>
  <c r="AL68" i="4"/>
  <c r="AL48" i="4"/>
  <c r="AL32" i="4"/>
  <c r="AL16" i="4"/>
  <c r="AL71" i="4"/>
  <c r="AL55" i="4"/>
  <c r="AL35" i="4"/>
  <c r="AL19" i="4"/>
  <c r="AL61" i="4"/>
  <c r="AL29" i="4"/>
  <c r="AL58" i="4"/>
  <c r="AL22" i="4"/>
  <c r="AL45" i="4"/>
  <c r="AL74" i="4"/>
  <c r="AL42" i="4"/>
  <c r="AR23" i="4"/>
  <c r="AS62" i="4"/>
  <c r="AQ30" i="4"/>
  <c r="AR46" i="4"/>
  <c r="AQ43" i="4"/>
  <c r="AS30" i="4"/>
  <c r="AT33" i="4"/>
  <c r="AR20" i="4"/>
  <c r="AR36" i="4"/>
  <c r="AS46" i="4"/>
  <c r="AR43" i="4"/>
  <c r="AT20" i="4"/>
  <c r="AT49" i="4"/>
  <c r="AS23" i="4"/>
  <c r="AS43" i="4"/>
  <c r="AS59" i="4"/>
  <c r="AS75" i="4"/>
  <c r="AS36" i="4"/>
  <c r="AS56" i="4"/>
  <c r="AS72" i="4"/>
  <c r="AR33" i="4"/>
  <c r="AQ49" i="4"/>
  <c r="AQ75" i="4"/>
  <c r="AO71" i="4"/>
  <c r="AK71" i="4"/>
  <c r="AN68" i="4"/>
  <c r="AM61" i="4"/>
  <c r="AR61" i="4" s="1"/>
  <c r="AO55" i="4"/>
  <c r="AK55" i="4"/>
  <c r="AN48" i="4"/>
  <c r="AM45" i="4"/>
  <c r="AR45" i="4" s="1"/>
  <c r="AO35" i="4"/>
  <c r="AK35" i="4"/>
  <c r="AN32" i="4"/>
  <c r="AM29" i="4"/>
  <c r="AO19" i="4"/>
  <c r="AN16" i="4"/>
  <c r="AM22" i="4"/>
  <c r="AR22" i="4" s="1"/>
  <c r="AN74" i="4"/>
  <c r="AM55" i="4"/>
  <c r="AM35" i="4"/>
  <c r="AO29" i="4"/>
  <c r="AM19" i="4"/>
  <c r="AR19" i="4" s="1"/>
  <c r="AO74" i="4"/>
  <c r="AK74" i="4"/>
  <c r="AN71" i="4"/>
  <c r="AM68" i="4"/>
  <c r="AO58" i="4"/>
  <c r="AK58" i="4"/>
  <c r="AN55" i="4"/>
  <c r="AM48" i="4"/>
  <c r="AO42" i="4"/>
  <c r="AK42" i="4"/>
  <c r="AN35" i="4"/>
  <c r="AS35" i="4" s="1"/>
  <c r="AM32" i="4"/>
  <c r="AO22" i="4"/>
  <c r="AT22" i="4" s="1"/>
  <c r="AN19" i="4"/>
  <c r="AM16" i="4"/>
  <c r="AK16" i="4"/>
  <c r="AK61" i="4"/>
  <c r="AN58" i="4"/>
  <c r="AK45" i="4"/>
  <c r="AN42" i="4"/>
  <c r="AK29" i="4"/>
  <c r="AK19" i="4"/>
  <c r="AM74" i="4"/>
  <c r="AO68" i="4"/>
  <c r="AK68" i="4"/>
  <c r="AN61" i="4"/>
  <c r="AM58" i="4"/>
  <c r="AO48" i="4"/>
  <c r="AK48" i="4"/>
  <c r="AN45" i="4"/>
  <c r="AS45" i="4" s="1"/>
  <c r="AM42" i="4"/>
  <c r="AO32" i="4"/>
  <c r="AK32" i="4"/>
  <c r="AN29" i="4"/>
  <c r="AS29" i="4" s="1"/>
  <c r="AO16" i="4"/>
  <c r="AK22" i="4"/>
  <c r="AM71" i="4"/>
  <c r="AR71" i="4" s="1"/>
  <c r="AO61" i="4"/>
  <c r="AT61" i="4" s="1"/>
  <c r="AO45" i="4"/>
  <c r="AN22" i="4"/>
  <c r="AM73" i="4"/>
  <c r="AR73" i="4" s="1"/>
  <c r="AO67" i="4"/>
  <c r="AK67" i="4"/>
  <c r="AN60" i="4"/>
  <c r="AM57" i="4"/>
  <c r="AR57" i="4" s="1"/>
  <c r="AO47" i="4"/>
  <c r="AK47" i="4"/>
  <c r="AN44" i="4"/>
  <c r="AM41" i="4"/>
  <c r="AR41" i="4" s="1"/>
  <c r="AO31" i="4"/>
  <c r="AK31" i="4"/>
  <c r="AN28" i="4"/>
  <c r="AO15" i="4"/>
  <c r="AK21" i="4"/>
  <c r="AN70" i="4"/>
  <c r="AO57" i="4"/>
  <c r="AO41" i="4"/>
  <c r="AT41" i="4" s="1"/>
  <c r="AO21" i="4"/>
  <c r="AN18" i="4"/>
  <c r="AK15" i="4"/>
  <c r="AO70" i="4"/>
  <c r="AT70" i="4" s="1"/>
  <c r="AK70" i="4"/>
  <c r="AN67" i="4"/>
  <c r="AM60" i="4"/>
  <c r="AR60" i="4" s="1"/>
  <c r="AO54" i="4"/>
  <c r="AK54" i="4"/>
  <c r="AN47" i="4"/>
  <c r="AM44" i="4"/>
  <c r="AO34" i="4"/>
  <c r="AK34" i="4"/>
  <c r="AN31" i="4"/>
  <c r="AM28" i="4"/>
  <c r="AO18" i="4"/>
  <c r="AN15" i="4"/>
  <c r="AK73" i="4"/>
  <c r="AM67" i="4"/>
  <c r="AM47" i="4"/>
  <c r="AR47" i="4" s="1"/>
  <c r="AM31" i="4"/>
  <c r="AR31" i="4" s="1"/>
  <c r="AM21" i="4"/>
  <c r="AR21" i="4" s="1"/>
  <c r="AN73" i="4"/>
  <c r="AM70" i="4"/>
  <c r="AR70" i="4" s="1"/>
  <c r="AO60" i="4"/>
  <c r="AT60" i="4" s="1"/>
  <c r="AK60" i="4"/>
  <c r="AN57" i="4"/>
  <c r="AM54" i="4"/>
  <c r="AO44" i="4"/>
  <c r="AT44" i="4" s="1"/>
  <c r="AK44" i="4"/>
  <c r="AN41" i="4"/>
  <c r="AM34" i="4"/>
  <c r="AO28" i="4"/>
  <c r="AT28" i="4" s="1"/>
  <c r="AK28" i="4"/>
  <c r="AN21" i="4"/>
  <c r="AM18" i="4"/>
  <c r="AR18" i="4" s="1"/>
  <c r="AK18" i="4"/>
  <c r="AO73" i="4"/>
  <c r="AK57" i="4"/>
  <c r="AN54" i="4"/>
  <c r="AS54" i="4" s="1"/>
  <c r="AK41" i="4"/>
  <c r="AN34" i="4"/>
  <c r="AM15" i="4"/>
  <c r="AQ74" i="4" l="1"/>
  <c r="AT73" i="4"/>
  <c r="AR32" i="4"/>
  <c r="AQ48" i="4"/>
  <c r="AQ15" i="4"/>
  <c r="AQ28" i="4"/>
  <c r="AS34" i="4"/>
  <c r="AS47" i="4"/>
  <c r="AS18" i="4"/>
  <c r="AR42" i="4"/>
  <c r="AR58" i="4"/>
  <c r="AS55" i="4"/>
  <c r="AS71" i="4"/>
  <c r="AS32" i="4"/>
  <c r="AS48" i="4"/>
  <c r="AS68" i="4"/>
  <c r="AS15" i="4"/>
  <c r="AK63" i="4"/>
  <c r="AT21" i="4"/>
  <c r="AT31" i="4"/>
  <c r="AT47" i="4"/>
  <c r="AT67" i="4"/>
  <c r="AS61" i="4"/>
  <c r="AS58" i="4"/>
  <c r="AS19" i="4"/>
  <c r="AR35" i="4"/>
  <c r="AS16" i="4"/>
  <c r="AR34" i="4"/>
  <c r="AM63" i="4"/>
  <c r="AR54" i="4"/>
  <c r="AT18" i="4"/>
  <c r="AT34" i="4"/>
  <c r="AT54" i="4"/>
  <c r="AT15" i="4"/>
  <c r="AQ45" i="4"/>
  <c r="AQ61" i="4"/>
  <c r="AQ71" i="4"/>
  <c r="AR68" i="4"/>
  <c r="AQ68" i="4"/>
  <c r="AQ18" i="4"/>
  <c r="AQ70" i="4"/>
  <c r="AQ31" i="4"/>
  <c r="AQ44" i="4"/>
  <c r="AR15" i="4"/>
  <c r="AS21" i="4"/>
  <c r="AN50" i="4"/>
  <c r="AS41" i="4"/>
  <c r="AS57" i="4"/>
  <c r="AS73" i="4"/>
  <c r="AM76" i="4"/>
  <c r="AR67" i="4"/>
  <c r="AR28" i="4"/>
  <c r="AR44" i="4"/>
  <c r="AK24" i="4"/>
  <c r="AT57" i="4"/>
  <c r="AS28" i="4"/>
  <c r="AS44" i="4"/>
  <c r="AS60" i="4"/>
  <c r="AS22" i="4"/>
  <c r="AT32" i="4"/>
  <c r="AT48" i="4"/>
  <c r="AT68" i="4"/>
  <c r="AS42" i="4"/>
  <c r="AL37" i="4"/>
  <c r="AT42" i="4"/>
  <c r="AT58" i="4"/>
  <c r="AT74" i="4"/>
  <c r="AT19" i="4"/>
  <c r="AT35" i="4"/>
  <c r="AT55" i="4"/>
  <c r="AT71" i="4"/>
  <c r="AQ22" i="4"/>
  <c r="AQ19" i="4"/>
  <c r="AR16" i="4"/>
  <c r="AQ16" i="4"/>
  <c r="AQ21" i="4"/>
  <c r="AQ41" i="4"/>
  <c r="AQ47" i="4"/>
  <c r="AQ60" i="4"/>
  <c r="AT76" i="4"/>
  <c r="AT29" i="4"/>
  <c r="AR29" i="4"/>
  <c r="AQ29" i="4"/>
  <c r="AR55" i="4"/>
  <c r="AQ55" i="4"/>
  <c r="AQ54" i="4"/>
  <c r="AQ34" i="4"/>
  <c r="AR63" i="4"/>
  <c r="AK37" i="4"/>
  <c r="AS31" i="4"/>
  <c r="AN76" i="4"/>
  <c r="AS67" i="4"/>
  <c r="AS76" i="4" s="1"/>
  <c r="AS70" i="4"/>
  <c r="AT45" i="4"/>
  <c r="AT16" i="4"/>
  <c r="AR74" i="4"/>
  <c r="AR48" i="4"/>
  <c r="AS74" i="4"/>
  <c r="AQ42" i="4"/>
  <c r="AQ58" i="4"/>
  <c r="AQ35" i="4"/>
  <c r="AQ32" i="4"/>
  <c r="AQ57" i="4"/>
  <c r="AQ73" i="4"/>
  <c r="AQ67" i="4"/>
  <c r="AO24" i="4"/>
  <c r="AL24" i="4"/>
  <c r="AK50" i="4"/>
  <c r="AM37" i="4"/>
  <c r="AO63" i="4"/>
  <c r="AK76" i="4"/>
  <c r="AN37" i="4"/>
  <c r="AL50" i="4"/>
  <c r="AM24" i="4"/>
  <c r="AN63" i="4"/>
  <c r="AO37" i="4"/>
  <c r="AM50" i="4"/>
  <c r="AO76" i="4"/>
  <c r="AL63" i="4"/>
  <c r="AN24" i="4"/>
  <c r="AO50" i="4"/>
  <c r="AL76" i="4"/>
  <c r="AS63" i="4" l="1"/>
  <c r="AR50" i="4"/>
  <c r="AT50" i="4"/>
  <c r="AQ24" i="4"/>
  <c r="AS37" i="4"/>
  <c r="AR37" i="4"/>
  <c r="AS24" i="4"/>
  <c r="AQ37" i="4"/>
  <c r="AT37" i="4"/>
  <c r="AU37" i="4"/>
  <c r="AQ63" i="4"/>
  <c r="AR24" i="4"/>
  <c r="AR76" i="4"/>
  <c r="AU76" i="4" s="1"/>
  <c r="AS50" i="4"/>
  <c r="AU50" i="4" s="1"/>
  <c r="AT63" i="4"/>
  <c r="AU63" i="4" s="1"/>
  <c r="AQ50" i="4"/>
  <c r="AQ76" i="4"/>
  <c r="AT24" i="4"/>
  <c r="AU24" i="4" l="1"/>
  <c r="AV76" i="4" s="1"/>
  <c r="AV77" i="4" s="1"/>
  <c r="AV37" i="4" l="1"/>
  <c r="AV38" i="4" s="1"/>
  <c r="AV50" i="4"/>
  <c r="AV51" i="4" s="1"/>
  <c r="AV63" i="4"/>
  <c r="AV64" i="4" s="1"/>
  <c r="C34" i="1" l="1"/>
  <c r="D34" i="1"/>
  <c r="E34" i="1"/>
  <c r="F34" i="1"/>
  <c r="G34" i="1"/>
  <c r="B34" i="1"/>
  <c r="H34" i="1" l="1"/>
  <c r="F35" i="1" s="1"/>
  <c r="D25" i="2"/>
  <c r="L25" i="2" s="1"/>
  <c r="N25" i="2" s="1"/>
  <c r="D21" i="2"/>
  <c r="L21" i="2" s="1"/>
  <c r="N21" i="2" s="1"/>
  <c r="D15" i="2"/>
  <c r="L15" i="2" s="1"/>
  <c r="N15" i="2" s="1"/>
  <c r="D23" i="2"/>
  <c r="D20" i="2"/>
  <c r="L20" i="2" s="1"/>
  <c r="N20" i="2" s="1"/>
  <c r="D18" i="2"/>
  <c r="D16" i="2"/>
  <c r="D22" i="2"/>
  <c r="D19" i="2"/>
  <c r="D17" i="2"/>
  <c r="D14" i="2"/>
  <c r="L14" i="2" s="1"/>
  <c r="D24" i="2"/>
  <c r="L24" i="2" s="1"/>
  <c r="N24" i="2" s="1"/>
  <c r="H49" i="2"/>
  <c r="L49" i="2" s="1"/>
  <c r="N49" i="2" s="1"/>
  <c r="H45" i="2"/>
  <c r="L45" i="2" s="1"/>
  <c r="N45" i="2" s="1"/>
  <c r="H39" i="2"/>
  <c r="L39" i="2" s="1"/>
  <c r="N39" i="2" s="1"/>
  <c r="H46" i="2"/>
  <c r="H43" i="2"/>
  <c r="H47" i="2"/>
  <c r="H44" i="2"/>
  <c r="L44" i="2" s="1"/>
  <c r="N44" i="2" s="1"/>
  <c r="H42" i="2"/>
  <c r="H40" i="2"/>
  <c r="H48" i="2"/>
  <c r="L48" i="2" s="1"/>
  <c r="N48" i="2" s="1"/>
  <c r="H41" i="2"/>
  <c r="H38" i="2"/>
  <c r="L38" i="2" s="1"/>
  <c r="N38" i="2" s="1"/>
  <c r="F37" i="2"/>
  <c r="L37" i="2" s="1"/>
  <c r="N37" i="2" s="1"/>
  <c r="F33" i="2"/>
  <c r="L33" i="2" s="1"/>
  <c r="N33" i="2" s="1"/>
  <c r="F27" i="2"/>
  <c r="L27" i="2" s="1"/>
  <c r="N27" i="2" s="1"/>
  <c r="F35" i="2"/>
  <c r="F32" i="2"/>
  <c r="L32" i="2" s="1"/>
  <c r="N32" i="2" s="1"/>
  <c r="F30" i="2"/>
  <c r="F28" i="2"/>
  <c r="F36" i="2"/>
  <c r="L36" i="2" s="1"/>
  <c r="N36" i="2" s="1"/>
  <c r="F34" i="2"/>
  <c r="F31" i="2"/>
  <c r="F29" i="2"/>
  <c r="F26" i="2"/>
  <c r="L26" i="2" s="1"/>
  <c r="N26" i="2" s="1"/>
  <c r="G37" i="2"/>
  <c r="M37" i="2" s="1"/>
  <c r="O37" i="2" s="1"/>
  <c r="G33" i="2"/>
  <c r="M33" i="2" s="1"/>
  <c r="O33" i="2" s="1"/>
  <c r="G27" i="2"/>
  <c r="M27" i="2" s="1"/>
  <c r="O27" i="2" s="1"/>
  <c r="G36" i="2"/>
  <c r="M36" i="2" s="1"/>
  <c r="O36" i="2" s="1"/>
  <c r="G34" i="2"/>
  <c r="G31" i="2"/>
  <c r="G29" i="2"/>
  <c r="G26" i="2"/>
  <c r="M26" i="2" s="1"/>
  <c r="O26" i="2" s="1"/>
  <c r="G32" i="2"/>
  <c r="M32" i="2" s="1"/>
  <c r="O32" i="2" s="1"/>
  <c r="G28" i="2"/>
  <c r="G35" i="2"/>
  <c r="G30" i="2"/>
  <c r="E25" i="2"/>
  <c r="M25" i="2" s="1"/>
  <c r="O25" i="2" s="1"/>
  <c r="E21" i="2"/>
  <c r="M21" i="2" s="1"/>
  <c r="O21" i="2" s="1"/>
  <c r="E15" i="2"/>
  <c r="M15" i="2" s="1"/>
  <c r="O15" i="2" s="1"/>
  <c r="E23" i="2"/>
  <c r="E20" i="2"/>
  <c r="M20" i="2" s="1"/>
  <c r="O20" i="2" s="1"/>
  <c r="E18" i="2"/>
  <c r="E16" i="2"/>
  <c r="E14" i="2"/>
  <c r="M14" i="2" s="1"/>
  <c r="E24" i="2"/>
  <c r="M24" i="2" s="1"/>
  <c r="O24" i="2" s="1"/>
  <c r="E22" i="2"/>
  <c r="E19" i="2"/>
  <c r="E17" i="2"/>
  <c r="I49" i="2"/>
  <c r="M49" i="2" s="1"/>
  <c r="O49" i="2" s="1"/>
  <c r="I45" i="2"/>
  <c r="M45" i="2" s="1"/>
  <c r="O45" i="2" s="1"/>
  <c r="I39" i="2"/>
  <c r="M39" i="2" s="1"/>
  <c r="O39" i="2" s="1"/>
  <c r="I47" i="2"/>
  <c r="I44" i="2"/>
  <c r="M44" i="2" s="1"/>
  <c r="O44" i="2" s="1"/>
  <c r="I42" i="2"/>
  <c r="I40" i="2"/>
  <c r="I48" i="2"/>
  <c r="M48" i="2" s="1"/>
  <c r="O48" i="2" s="1"/>
  <c r="I46" i="2"/>
  <c r="I43" i="2"/>
  <c r="I41" i="2"/>
  <c r="I38" i="2"/>
  <c r="M38" i="2" s="1"/>
  <c r="O38" i="2" s="1"/>
  <c r="L10" i="2" l="1"/>
  <c r="L11" i="2" s="1"/>
  <c r="N14" i="2"/>
  <c r="M10" i="2"/>
  <c r="M11" i="2" s="1"/>
  <c r="O14" i="2"/>
  <c r="G35" i="1"/>
  <c r="C35" i="1"/>
  <c r="D35" i="1"/>
  <c r="E35" i="1"/>
  <c r="B35" i="1"/>
  <c r="N10" i="2" l="1"/>
  <c r="B36" i="1"/>
  <c r="N11" i="2" l="1"/>
  <c r="S14" i="2"/>
  <c r="AY77" i="4" s="1"/>
</calcChain>
</file>

<file path=xl/sharedStrings.xml><?xml version="1.0" encoding="utf-8"?>
<sst xmlns="http://schemas.openxmlformats.org/spreadsheetml/2006/main" count="604" uniqueCount="187">
  <si>
    <t>Residential Buildings - Initial Parameters</t>
  </si>
  <si>
    <t>Sheet:</t>
  </si>
  <si>
    <t>Table:</t>
  </si>
  <si>
    <t>Bldg Res Stock</t>
  </si>
  <si>
    <t>Electric</t>
  </si>
  <si>
    <t>Heat</t>
  </si>
  <si>
    <t>Distillate</t>
  </si>
  <si>
    <t>Natural Gas</t>
  </si>
  <si>
    <t>Propane</t>
  </si>
  <si>
    <t>Wood</t>
  </si>
  <si>
    <t>Resistance</t>
  </si>
  <si>
    <t>Pump</t>
  </si>
  <si>
    <t>Distillate Boiler</t>
  </si>
  <si>
    <t>Distillate Furnace</t>
  </si>
  <si>
    <t>Air Source Heat Pump</t>
  </si>
  <si>
    <t>Efficient Distillate Boiler</t>
  </si>
  <si>
    <t>Efficient Distillate Furnace</t>
  </si>
  <si>
    <t>Efficient Gas Boiler</t>
  </si>
  <si>
    <t>Efficient Gas Furnace</t>
  </si>
  <si>
    <t>Electric Resistance</t>
  </si>
  <si>
    <t>Gas Boiler</t>
  </si>
  <si>
    <t>Gas Furnace</t>
  </si>
  <si>
    <t>Hybrid Oil Electric Heat Pump</t>
  </si>
  <si>
    <t>Ground Source Heat Pump</t>
  </si>
  <si>
    <t>Hybrid Gas Electric Heat Pump</t>
  </si>
  <si>
    <t>LPG Furnace</t>
  </si>
  <si>
    <t>Wood Stoves</t>
  </si>
  <si>
    <t>Technology</t>
  </si>
  <si>
    <t>Total</t>
  </si>
  <si>
    <t>2021-12-29-IA-Tech-Supplement-Annex I-Inputs-Assumptions</t>
  </si>
  <si>
    <t>Initial residential stock parameters</t>
  </si>
  <si>
    <t>This tab includes the Initial residential building stock by subsector, device lifetimes, and 2020 sales efficiency</t>
  </si>
  <si>
    <t xml:space="preserve">We use a combination of data from EIA's Residential Energy Consumption Survey, NYSERDA's Residential Building Stock Assessment, and the American Community Survey for data on the initial stock distribution of device technologies within each subsector </t>
  </si>
  <si>
    <t>Sources:</t>
  </si>
  <si>
    <t>NYSERDA Residential Building Stock Assessment</t>
  </si>
  <si>
    <t>Residential Building Stock Assessment - NYSERDA</t>
  </si>
  <si>
    <t>ACS 2018</t>
  </si>
  <si>
    <t>https://www2.census.gov/programs-surveys/acs/summary_file/2018/data/5_year_comparison_profiles/county/</t>
  </si>
  <si>
    <t>EIA Building Sector Appliance and Equipment Costs and Efficiency</t>
  </si>
  <si>
    <t>https://www.eia.gov/analysis/studies/buildings/equipcosts/</t>
  </si>
  <si>
    <t>IA-Tech-Supplement-Annex I-Inputs-Assumptions</t>
  </si>
  <si>
    <t>%</t>
  </si>
  <si>
    <t>Inputs Assumptions Workbook Residential Home Heating Electrification Costs</t>
  </si>
  <si>
    <t>https://climate.ny.gov/-/media/Project/Climate/Files/IA-Tech-Supplement-Annex-1-Input-Assumptions.ashx</t>
  </si>
  <si>
    <t>Basic</t>
  </si>
  <si>
    <t>Deep</t>
  </si>
  <si>
    <t>Basic Shell</t>
  </si>
  <si>
    <t>Deep Shell</t>
  </si>
  <si>
    <t>Single Family</t>
  </si>
  <si>
    <t>Small Multi Family</t>
  </si>
  <si>
    <t>Large Multi Family</t>
  </si>
  <si>
    <t>ASHP</t>
  </si>
  <si>
    <t>GSHP</t>
  </si>
  <si>
    <t>Component Costs and Total Electrification Estimate</t>
  </si>
  <si>
    <t>$/device</t>
  </si>
  <si>
    <t>Building Shell</t>
  </si>
  <si>
    <t>Reference Shell</t>
  </si>
  <si>
    <t>Shell Differential</t>
  </si>
  <si>
    <t>Heating Electrification Total</t>
  </si>
  <si>
    <t>Numbers</t>
  </si>
  <si>
    <t xml:space="preserve">Single Family </t>
  </si>
  <si>
    <t>Scenario</t>
  </si>
  <si>
    <t>Reference</t>
  </si>
  <si>
    <t>Scenario 1</t>
  </si>
  <si>
    <t>Scenario 3</t>
  </si>
  <si>
    <t>Scenario 4</t>
  </si>
  <si>
    <t>Shell Type</t>
  </si>
  <si>
    <t>Reference Building Shell Stocks (million buildings)</t>
  </si>
  <si>
    <t>Scenario 1 Building Shell Stocks (million buildings)</t>
  </si>
  <si>
    <t>Scenario 2 Building Shell Stocks (million buildings)</t>
  </si>
  <si>
    <t>Scenario 3 Building Shell Stocks (million buildings)</t>
  </si>
  <si>
    <t>Scenario 4 Building Shell Stocks (million buildings)</t>
  </si>
  <si>
    <t>Integration Analysis Technical Supplement, Section I, Annex 2: Key Drivers and Outputs</t>
  </si>
  <si>
    <t>Reference_Building Shell</t>
  </si>
  <si>
    <t>Sheet</t>
  </si>
  <si>
    <t>Table</t>
  </si>
  <si>
    <t>S1_Building Shell</t>
  </si>
  <si>
    <t>S2_Building Shell</t>
  </si>
  <si>
    <t>S3_Building Shell</t>
  </si>
  <si>
    <t>S4_Building Shell</t>
  </si>
  <si>
    <t>Tables</t>
  </si>
  <si>
    <t xml:space="preserve">Consolidated Building Shell Stocks </t>
  </si>
  <si>
    <t>Building Shell Estimated costs</t>
  </si>
  <si>
    <t xml:space="preserve"> Single Family</t>
  </si>
  <si>
    <t>Residential Building Shells  ($/device)</t>
  </si>
  <si>
    <t>Bldg_Res Device Cost</t>
  </si>
  <si>
    <t>Integration Analysis Technical Supplement, Section I, Annex 1: Inputs and Assumptions</t>
  </si>
  <si>
    <t xml:space="preserve">Scenario 2 </t>
  </si>
  <si>
    <t>Large Multi-Family</t>
  </si>
  <si>
    <t>Small Multi-Family</t>
  </si>
  <si>
    <t>Bldg_Res Stock</t>
  </si>
  <si>
    <t>Device</t>
  </si>
  <si>
    <t>Cost</t>
  </si>
  <si>
    <t>Total Cost</t>
  </si>
  <si>
    <t>Since 2022</t>
  </si>
  <si>
    <t>Annual</t>
  </si>
  <si>
    <t>Bldg_res device cost</t>
  </si>
  <si>
    <t>Component Costs</t>
  </si>
  <si>
    <t>Fossil fueled</t>
  </si>
  <si>
    <t>Inputs Assumptions Workbook Residential Single Family Home Heating Electrification Costs</t>
  </si>
  <si>
    <t>Spreadsheet: 2021-12-29-IA-Tech-Supplement-Annex I-Inputs-Assumptions</t>
  </si>
  <si>
    <t>Costs to Electrify Heating</t>
  </si>
  <si>
    <t>2022 to 2050 per year cost</t>
  </si>
  <si>
    <t>Combined shells and furnaces</t>
  </si>
  <si>
    <t>Cost to Retrofit to Electric Heating =                                                                                                                            Component Costs Minus Replacement Cost of Existing System</t>
  </si>
  <si>
    <t>Spreadsheet</t>
  </si>
  <si>
    <t>IA-Tech-Supplement-Annex-2-Key-Drivers-Outputs</t>
  </si>
  <si>
    <t>2020 Emissions</t>
  </si>
  <si>
    <t>Reference Energy Emissions</t>
  </si>
  <si>
    <t>Summary of 2020 Emissions</t>
  </si>
  <si>
    <t>Energy Emissions - Reference Case</t>
  </si>
  <si>
    <t>GHG emissions by subsector and pollutant for 2020.</t>
  </si>
  <si>
    <t>GHG emissions from energy use in buildings, transportation, industrial sectors</t>
  </si>
  <si>
    <t>Note: 2020 is a modeled year, reflecting historical trends.</t>
  </si>
  <si>
    <t>Summary Emissions by Subsector in 2020 (MMT CO2e)</t>
  </si>
  <si>
    <t>2020 Emissions by Pollutant (MMT CO2e)</t>
  </si>
  <si>
    <t>Energy Emissions by Subsector (MMT CO2e)</t>
  </si>
  <si>
    <t>Sector</t>
  </si>
  <si>
    <t>Subsector</t>
  </si>
  <si>
    <t>2020 Emissions [CO2e]</t>
  </si>
  <si>
    <t>% of gross</t>
  </si>
  <si>
    <t>Chart Label</t>
  </si>
  <si>
    <t>Sector Totals</t>
  </si>
  <si>
    <t>Buildings</t>
  </si>
  <si>
    <t>Space Heating</t>
  </si>
  <si>
    <t>CO2 Sink</t>
  </si>
  <si>
    <t>Water Heating</t>
  </si>
  <si>
    <t>CO2</t>
  </si>
  <si>
    <t>Cooking</t>
  </si>
  <si>
    <t>CH4</t>
  </si>
  <si>
    <t>Lighting</t>
  </si>
  <si>
    <t>Other</t>
  </si>
  <si>
    <t>HFCs</t>
  </si>
  <si>
    <t>Appliances</t>
  </si>
  <si>
    <t>Industry</t>
  </si>
  <si>
    <t>Chemicals</t>
  </si>
  <si>
    <t>N2O</t>
  </si>
  <si>
    <t>AC/Ventilation</t>
  </si>
  <si>
    <t>Transportation</t>
  </si>
  <si>
    <t>Passenger Vehicles</t>
  </si>
  <si>
    <t>Net Emissions</t>
  </si>
  <si>
    <t>MDVs + HDVs</t>
  </si>
  <si>
    <t>Cement</t>
  </si>
  <si>
    <t>Aviation</t>
  </si>
  <si>
    <t>Gross Emissions</t>
  </si>
  <si>
    <t>Paper</t>
  </si>
  <si>
    <t>Other Manufacturing</t>
  </si>
  <si>
    <t>Electricity Generation</t>
  </si>
  <si>
    <t>Food</t>
  </si>
  <si>
    <t>Construction</t>
  </si>
  <si>
    <t>Fugitive Emissions</t>
  </si>
  <si>
    <t>2020 Emissions by Pollutant (MMT CO2e) (Donut Chart)</t>
  </si>
  <si>
    <t>Iron and Steel</t>
  </si>
  <si>
    <t>IPPU</t>
  </si>
  <si>
    <t>Refrigerants</t>
  </si>
  <si>
    <t>Gas</t>
  </si>
  <si>
    <t>Glass</t>
  </si>
  <si>
    <t>Residential</t>
  </si>
  <si>
    <t>Mining &amp; Ag</t>
  </si>
  <si>
    <t>Waste</t>
  </si>
  <si>
    <t>Landfills</t>
  </si>
  <si>
    <t>Commercial</t>
  </si>
  <si>
    <t>Gas System</t>
  </si>
  <si>
    <t>LDV</t>
  </si>
  <si>
    <t>Agriculture</t>
  </si>
  <si>
    <t>Animal Feeding</t>
  </si>
  <si>
    <t>MHDV + Buses</t>
  </si>
  <si>
    <t>Industrial</t>
  </si>
  <si>
    <t>Other Nonroad</t>
  </si>
  <si>
    <t>Emissions by Sector (MMT CO2e)</t>
  </si>
  <si>
    <t>Electricity</t>
  </si>
  <si>
    <t>Transportation (Upstream)</t>
  </si>
  <si>
    <t>Industrial (Upstream)</t>
  </si>
  <si>
    <t>Commercial (Upstream)</t>
  </si>
  <si>
    <t>Residential (Upstream)</t>
  </si>
  <si>
    <t>Refrigerants and Other</t>
  </si>
  <si>
    <t>Electricity (Upstream)</t>
  </si>
  <si>
    <t>Petroleum Refining</t>
  </si>
  <si>
    <t>AFOLU (Source)</t>
  </si>
  <si>
    <t>AFOLU (Sink)</t>
  </si>
  <si>
    <t>Gross</t>
  </si>
  <si>
    <t>Net</t>
  </si>
  <si>
    <t>*Note gross sums do not match exactly due to rounding</t>
  </si>
  <si>
    <t>Building Shell Population</t>
  </si>
  <si>
    <t>Building Shell Costs</t>
  </si>
  <si>
    <t>Individual Residence Costs</t>
  </si>
  <si>
    <t>Statewide residential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</si>
</sst>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_(* #,##0_);_(* \(#,##0\);_(* &quot;-&quot;??_);_(@_)"/>
    <numFmt numFmtId="165" formatCode="0.0%"/>
    <numFmt numFmtId="166" formatCode="_(&quot;$&quot;* #,##0_);_(&quot;$&quot;* \(#,##0\);_(&quot;$&quot;* &quot;-&quot;??_);_(@_)"/>
    <numFmt numFmtId="167" formatCode="#,##0.000"/>
    <numFmt numFmtId="168" formatCode="#,##0.0"/>
  </numFmts>
  <fonts count="29" x14ac:knownFonts="1">
    <font>
      <sz val="11"/>
      <color theme="1"/>
      <name val="Calibri"/>
      <family val="2"/>
      <scheme val="minor"/>
    </font>
    <font>
      <sz val="11"/>
      <color theme="1"/>
      <name val="Calibri"/>
      <family val="2"/>
      <scheme val="minor"/>
    </font>
    <font>
      <i/>
      <sz val="11"/>
      <color rgb="FF7F7F7F"/>
      <name val="Calibri"/>
      <family val="2"/>
      <scheme val="minor"/>
    </font>
    <font>
      <b/>
      <sz val="11"/>
      <color theme="1"/>
      <name val="Calibri"/>
      <family val="2"/>
      <scheme val="minor"/>
    </font>
    <font>
      <u/>
      <sz val="11"/>
      <color theme="10"/>
      <name val="Calibri"/>
      <family val="2"/>
      <scheme val="minor"/>
    </font>
    <font>
      <sz val="10"/>
      <color theme="1"/>
      <name val="Calibri"/>
      <family val="2"/>
      <scheme val="minor"/>
    </font>
    <font>
      <b/>
      <sz val="10"/>
      <color theme="0"/>
      <name val="Calibri"/>
      <family val="2"/>
      <scheme val="minor"/>
    </font>
    <font>
      <i/>
      <sz val="10"/>
      <color rgb="FF7F7F7F"/>
      <name val="Calibri"/>
      <family val="2"/>
      <scheme val="minor"/>
    </font>
    <font>
      <b/>
      <sz val="10"/>
      <color theme="1"/>
      <name val="Calibri"/>
      <family val="2"/>
      <scheme val="minor"/>
    </font>
    <font>
      <u/>
      <sz val="10"/>
      <color theme="10"/>
      <name val="Calibri"/>
      <family val="2"/>
      <scheme val="minor"/>
    </font>
    <font>
      <sz val="10"/>
      <name val="Calibri"/>
      <family val="2"/>
      <scheme val="minor"/>
    </font>
    <font>
      <sz val="9"/>
      <name val="Calibri"/>
      <family val="2"/>
      <scheme val="minor"/>
    </font>
    <font>
      <b/>
      <sz val="10"/>
      <color theme="0"/>
      <name val="Arial"/>
      <family val="2"/>
    </font>
    <font>
      <sz val="9"/>
      <color theme="1"/>
      <name val="Arial"/>
      <family val="2"/>
    </font>
    <font>
      <sz val="9"/>
      <name val="Arial"/>
      <family val="2"/>
    </font>
    <font>
      <i/>
      <sz val="9"/>
      <name val="Calibri"/>
      <family val="2"/>
      <scheme val="minor"/>
    </font>
    <font>
      <sz val="11"/>
      <name val="Calibri"/>
      <family val="2"/>
      <scheme val="minor"/>
    </font>
    <font>
      <b/>
      <sz val="9"/>
      <color theme="1"/>
      <name val="Arial"/>
      <family val="2"/>
    </font>
    <font>
      <b/>
      <i/>
      <u/>
      <sz val="9"/>
      <color rgb="FF3807ED"/>
      <name val="Arial"/>
      <family val="2"/>
    </font>
    <font>
      <b/>
      <sz val="11"/>
      <color rgb="FFFA7D00"/>
      <name val="Calibri"/>
      <family val="2"/>
      <scheme val="minor"/>
    </font>
    <font>
      <sz val="11"/>
      <color theme="0"/>
      <name val="Calibri"/>
      <family val="2"/>
      <scheme val="minor"/>
    </font>
    <font>
      <b/>
      <sz val="14"/>
      <color rgb="FFFFFFFF"/>
      <name val="Calibri"/>
      <family val="2"/>
    </font>
    <font>
      <sz val="11"/>
      <color rgb="FFFFFFFF"/>
      <name val="Calibri"/>
      <family val="2"/>
    </font>
    <font>
      <sz val="11"/>
      <color theme="1"/>
      <name val="Calibri"/>
      <family val="2"/>
    </font>
    <font>
      <sz val="11"/>
      <color rgb="FF000000"/>
      <name val="Calibri"/>
      <family val="2"/>
    </font>
    <font>
      <i/>
      <sz val="9"/>
      <color theme="1" tint="0.499984740745262"/>
      <name val="Calibri"/>
      <family val="2"/>
      <scheme val="minor"/>
    </font>
    <font>
      <i/>
      <sz val="9"/>
      <color theme="1"/>
      <name val="Calibri"/>
      <family val="2"/>
      <scheme val="minor"/>
    </font>
    <font>
      <i/>
      <sz val="9"/>
      <color theme="0" tint="-0.499984740745262"/>
      <name val="Arial"/>
      <family val="2"/>
    </font>
    <font>
      <i/>
      <sz val="9"/>
      <color rgb="FFFF0000"/>
      <name val="Arial"/>
      <family val="2"/>
    </font>
  </fonts>
  <fills count="15">
    <fill>
      <patternFill patternType="none"/>
    </fill>
    <fill>
      <patternFill patternType="gray125"/>
    </fill>
    <fill>
      <patternFill patternType="solid">
        <fgColor theme="4"/>
        <bgColor indexed="64"/>
      </patternFill>
    </fill>
    <fill>
      <patternFill patternType="solid">
        <fgColor theme="6" tint="0.79998168889431442"/>
        <bgColor indexed="64"/>
      </patternFill>
    </fill>
    <fill>
      <patternFill patternType="solid">
        <fgColor rgb="FFFFFFCC"/>
        <bgColor indexed="64"/>
      </patternFill>
    </fill>
    <fill>
      <patternFill patternType="solid">
        <fgColor theme="3"/>
        <bgColor indexed="64"/>
      </patternFill>
    </fill>
    <fill>
      <patternFill patternType="solid">
        <fgColor theme="2"/>
        <bgColor indexed="64"/>
      </patternFill>
    </fill>
    <fill>
      <patternFill patternType="solid">
        <fgColor rgb="FFFFFF00"/>
        <bgColor indexed="64"/>
      </patternFill>
    </fill>
    <fill>
      <patternFill patternType="solid">
        <fgColor theme="4" tint="0.59996337778862885"/>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rgb="FFF2F2F2"/>
      </patternFill>
    </fill>
    <fill>
      <patternFill patternType="solid">
        <fgColor rgb="FFFFFFCC"/>
      </patternFill>
    </fill>
    <fill>
      <patternFill patternType="solid">
        <fgColor theme="4"/>
      </patternFill>
    </fill>
    <fill>
      <patternFill patternType="solid">
        <fgColor rgb="FF034E6E"/>
        <bgColor rgb="FFFFFFFF"/>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style="thin">
        <color theme="0" tint="-0.499984740745262"/>
      </right>
      <top/>
      <bottom style="thin">
        <color theme="0" tint="-0.499984740745262"/>
      </bottom>
      <diagonal/>
    </border>
    <border>
      <left style="thin">
        <color indexed="64"/>
      </left>
      <right style="thin">
        <color indexed="64"/>
      </right>
      <top/>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right style="thin">
        <color indexed="64"/>
      </right>
      <top style="thin">
        <color indexed="64"/>
      </top>
      <bottom style="thin">
        <color indexed="64"/>
      </bottom>
      <diagonal/>
    </border>
    <border>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3"/>
      </left>
      <right style="thin">
        <color theme="3"/>
      </right>
      <top style="thin">
        <color theme="3"/>
      </top>
      <bottom style="thin">
        <color theme="3"/>
      </bottom>
      <diagonal/>
    </border>
    <border>
      <left/>
      <right/>
      <top/>
      <bottom style="thin">
        <color theme="0" tint="-0.499984740745262"/>
      </bottom>
      <diagonal/>
    </border>
    <border>
      <left style="thin">
        <color theme="0" tint="-0.499984740745262"/>
      </left>
      <right style="thin">
        <color theme="0" tint="-0.499984740745262"/>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theme="0" tint="-0.499984740745262"/>
      </right>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diagonal/>
    </border>
    <border>
      <left style="thin">
        <color theme="0" tint="-0.499984740745262"/>
      </left>
      <right style="thin">
        <color indexed="64"/>
      </right>
      <top style="thin">
        <color theme="0" tint="-0.499984740745262"/>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theme="3"/>
      </left>
      <right style="thin">
        <color theme="3"/>
      </right>
      <top style="thin">
        <color theme="3"/>
      </top>
      <bottom/>
      <diagonal/>
    </border>
    <border>
      <left style="thin">
        <color theme="0" tint="-0.499984740745262"/>
      </left>
      <right style="thin">
        <color theme="0" tint="-0.499984740745262"/>
      </right>
      <top style="thin">
        <color theme="0" tint="-0.499984740745262"/>
      </top>
      <bottom style="double">
        <color theme="1"/>
      </bottom>
      <diagonal/>
    </border>
  </borders>
  <cellStyleXfs count="19">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0" fontId="4" fillId="0" borderId="0" applyNumberFormat="0" applyFill="0" applyBorder="0" applyAlignment="0" applyProtection="0"/>
    <xf numFmtId="0" fontId="12" fillId="5" borderId="17" applyNumberFormat="0">
      <alignment vertical="center"/>
    </xf>
    <xf numFmtId="0" fontId="13" fillId="6" borderId="5" applyAlignment="0">
      <alignment horizontal="left"/>
    </xf>
    <xf numFmtId="0" fontId="13" fillId="8" borderId="5" applyNumberFormat="0">
      <alignment vertical="center"/>
    </xf>
    <xf numFmtId="0" fontId="14" fillId="0" borderId="5" applyNumberFormat="0">
      <alignment vertical="center"/>
    </xf>
    <xf numFmtId="0" fontId="15" fillId="9" borderId="5" applyNumberFormat="0">
      <alignment vertical="center"/>
    </xf>
    <xf numFmtId="0" fontId="5" fillId="0" borderId="0"/>
    <xf numFmtId="9" fontId="5" fillId="0" borderId="0" applyFont="0" applyFill="0" applyBorder="0" applyAlignment="0">
      <protection locked="0"/>
    </xf>
    <xf numFmtId="0" fontId="19" fillId="11" borderId="29" applyNumberFormat="0" applyAlignment="0" applyProtection="0"/>
    <xf numFmtId="0" fontId="1" fillId="12" borderId="30" applyNumberFormat="0" applyFont="0" applyAlignment="0" applyProtection="0"/>
    <xf numFmtId="0" fontId="20" fillId="13" borderId="0" applyNumberFormat="0" applyBorder="0" applyAlignment="0" applyProtection="0"/>
    <xf numFmtId="0" fontId="23" fillId="0" borderId="0"/>
    <xf numFmtId="0" fontId="2" fillId="0" borderId="0" applyNumberFormat="0" applyFill="0" applyBorder="0" applyAlignment="0" applyProtection="0"/>
    <xf numFmtId="0" fontId="25" fillId="0" borderId="0" applyNumberFormat="0" applyFill="0" applyBorder="0" applyAlignment="0"/>
  </cellStyleXfs>
  <cellXfs count="152">
    <xf numFmtId="0" fontId="0" fillId="0" borderId="0" xfId="0"/>
    <xf numFmtId="0" fontId="3" fillId="0" borderId="0" xfId="0" applyFont="1"/>
    <xf numFmtId="0" fontId="0" fillId="0" borderId="0" xfId="0" applyAlignment="1">
      <alignment vertical="center"/>
    </xf>
    <xf numFmtId="0" fontId="5" fillId="2" borderId="4" xfId="0" applyFont="1" applyFill="1" applyBorder="1" applyAlignment="1">
      <alignment vertical="center"/>
    </xf>
    <xf numFmtId="0" fontId="4" fillId="0" borderId="0" xfId="5" applyAlignment="1">
      <alignment vertical="center"/>
    </xf>
    <xf numFmtId="0" fontId="5" fillId="0" borderId="0" xfId="0" applyFont="1" applyAlignment="1">
      <alignment vertical="center"/>
    </xf>
    <xf numFmtId="0" fontId="5" fillId="0" borderId="0" xfId="0" applyFont="1"/>
    <xf numFmtId="0" fontId="6" fillId="2" borderId="4" xfId="0" applyFont="1" applyFill="1" applyBorder="1" applyAlignment="1">
      <alignment vertical="center"/>
    </xf>
    <xf numFmtId="0" fontId="7" fillId="0" borderId="0" xfId="4" applyFont="1" applyAlignment="1">
      <alignment vertical="center"/>
    </xf>
    <xf numFmtId="0" fontId="8" fillId="0" borderId="0" xfId="0" applyFont="1" applyAlignment="1">
      <alignment vertical="center"/>
    </xf>
    <xf numFmtId="0" fontId="7" fillId="0" borderId="4" xfId="4" applyFont="1" applyBorder="1" applyAlignment="1">
      <alignment vertical="center"/>
    </xf>
    <xf numFmtId="0" fontId="5" fillId="0" borderId="4" xfId="0" applyFont="1" applyBorder="1" applyAlignment="1">
      <alignment vertical="center"/>
    </xf>
    <xf numFmtId="0" fontId="7" fillId="0" borderId="0" xfId="4" applyFont="1" applyFill="1" applyBorder="1" applyAlignment="1">
      <alignment vertical="center"/>
    </xf>
    <xf numFmtId="0" fontId="9" fillId="0" borderId="0" xfId="5" applyFont="1" applyAlignment="1">
      <alignment vertical="center"/>
    </xf>
    <xf numFmtId="0" fontId="9" fillId="0" borderId="6" xfId="5" applyFont="1" applyBorder="1" applyAlignment="1">
      <alignment vertical="center"/>
    </xf>
    <xf numFmtId="0" fontId="5" fillId="0" borderId="0" xfId="0" applyFont="1" applyAlignment="1">
      <alignment horizontal="right"/>
    </xf>
    <xf numFmtId="0" fontId="5" fillId="0" borderId="2" xfId="0" applyFont="1" applyBorder="1"/>
    <xf numFmtId="0" fontId="8" fillId="0" borderId="2" xfId="0" applyFont="1" applyBorder="1" applyAlignment="1">
      <alignment horizontal="center"/>
    </xf>
    <xf numFmtId="0" fontId="8" fillId="0" borderId="3" xfId="0" applyFont="1" applyBorder="1" applyAlignment="1">
      <alignment horizontal="center"/>
    </xf>
    <xf numFmtId="0" fontId="5" fillId="0" borderId="1" xfId="0" applyFont="1" applyBorder="1" applyAlignment="1">
      <alignment horizontal="right" vertical="center"/>
    </xf>
    <xf numFmtId="164" fontId="5" fillId="0" borderId="1" xfId="0" applyNumberFormat="1" applyFont="1" applyBorder="1"/>
    <xf numFmtId="0" fontId="5" fillId="0" borderId="1" xfId="0" applyFont="1" applyBorder="1"/>
    <xf numFmtId="164" fontId="5" fillId="0" borderId="0" xfId="0" applyNumberFormat="1" applyFont="1"/>
    <xf numFmtId="0" fontId="5" fillId="0" borderId="1" xfId="0" applyFont="1" applyBorder="1" applyAlignment="1">
      <alignment horizontal="right"/>
    </xf>
    <xf numFmtId="165" fontId="5" fillId="0" borderId="1" xfId="3" applyNumberFormat="1" applyFont="1" applyBorder="1"/>
    <xf numFmtId="165" fontId="5" fillId="0" borderId="0" xfId="0" applyNumberFormat="1" applyFont="1"/>
    <xf numFmtId="0" fontId="3" fillId="0" borderId="0" xfId="0" applyFont="1" applyAlignment="1">
      <alignment horizontal="center"/>
    </xf>
    <xf numFmtId="0" fontId="3" fillId="0" borderId="1" xfId="0" applyFont="1" applyBorder="1" applyAlignment="1">
      <alignment horizontal="center"/>
    </xf>
    <xf numFmtId="0" fontId="3" fillId="0" borderId="1" xfId="0" applyFont="1" applyBorder="1" applyAlignment="1">
      <alignment vertical="center"/>
    </xf>
    <xf numFmtId="166" fontId="10" fillId="0" borderId="10" xfId="2" applyNumberFormat="1" applyFont="1" applyFill="1" applyBorder="1" applyAlignment="1" applyProtection="1">
      <alignment vertical="center"/>
      <protection locked="0"/>
    </xf>
    <xf numFmtId="166" fontId="10" fillId="0" borderId="5" xfId="2" applyNumberFormat="1" applyFont="1" applyFill="1" applyBorder="1" applyAlignment="1" applyProtection="1">
      <alignment vertical="center"/>
      <protection locked="0"/>
    </xf>
    <xf numFmtId="166" fontId="10" fillId="0" borderId="12" xfId="2" applyNumberFormat="1" applyFont="1" applyFill="1" applyBorder="1" applyAlignment="1" applyProtection="1">
      <alignment vertical="center"/>
      <protection locked="0"/>
    </xf>
    <xf numFmtId="0" fontId="3" fillId="0" borderId="0" xfId="0" applyFont="1" applyAlignment="1">
      <alignment horizontal="right"/>
    </xf>
    <xf numFmtId="166" fontId="0" fillId="0" borderId="0" xfId="0" applyNumberFormat="1"/>
    <xf numFmtId="166" fontId="10" fillId="0" borderId="13" xfId="2" applyNumberFormat="1" applyFont="1" applyFill="1" applyBorder="1" applyAlignment="1" applyProtection="1">
      <alignment vertical="center"/>
      <protection locked="0"/>
    </xf>
    <xf numFmtId="166" fontId="10" fillId="0" borderId="14" xfId="2" applyNumberFormat="1" applyFont="1" applyFill="1" applyBorder="1" applyAlignment="1" applyProtection="1">
      <alignment vertical="center"/>
      <protection locked="0"/>
    </xf>
    <xf numFmtId="166" fontId="10" fillId="0" borderId="1" xfId="2" applyNumberFormat="1" applyFont="1" applyFill="1" applyBorder="1" applyAlignment="1" applyProtection="1">
      <alignment vertical="center"/>
      <protection locked="0"/>
    </xf>
    <xf numFmtId="9" fontId="0" fillId="0" borderId="0" xfId="0" applyNumberFormat="1"/>
    <xf numFmtId="0" fontId="3" fillId="3" borderId="15" xfId="0" applyFont="1" applyFill="1" applyBorder="1" applyAlignment="1">
      <alignment vertical="center"/>
    </xf>
    <xf numFmtId="166" fontId="10" fillId="3" borderId="5" xfId="2" applyNumberFormat="1" applyFont="1" applyFill="1" applyBorder="1" applyAlignment="1" applyProtection="1">
      <alignment vertical="center"/>
      <protection locked="0"/>
    </xf>
    <xf numFmtId="166" fontId="10" fillId="3" borderId="16" xfId="2" applyNumberFormat="1" applyFont="1" applyFill="1" applyBorder="1" applyAlignment="1" applyProtection="1">
      <alignment vertical="center"/>
      <protection locked="0"/>
    </xf>
    <xf numFmtId="166" fontId="10" fillId="3" borderId="15" xfId="2" applyNumberFormat="1" applyFont="1" applyFill="1" applyBorder="1" applyAlignment="1" applyProtection="1">
      <alignment vertical="center"/>
      <protection locked="0"/>
    </xf>
    <xf numFmtId="166" fontId="10" fillId="3" borderId="12" xfId="2" applyNumberFormat="1" applyFont="1" applyFill="1" applyBorder="1" applyAlignment="1" applyProtection="1">
      <alignment vertical="center"/>
      <protection locked="0"/>
    </xf>
    <xf numFmtId="164" fontId="11" fillId="4" borderId="5" xfId="1" applyNumberFormat="1" applyFont="1" applyFill="1" applyBorder="1" applyAlignment="1" applyProtection="1">
      <alignment vertical="center"/>
      <protection locked="0"/>
    </xf>
    <xf numFmtId="0" fontId="3" fillId="0" borderId="15" xfId="0" applyFont="1" applyBorder="1" applyAlignment="1">
      <alignment vertical="center"/>
    </xf>
    <xf numFmtId="166" fontId="10" fillId="0" borderId="16" xfId="2" applyNumberFormat="1" applyFont="1" applyFill="1" applyBorder="1" applyAlignment="1" applyProtection="1">
      <alignment vertical="center"/>
      <protection locked="0"/>
    </xf>
    <xf numFmtId="166" fontId="10" fillId="0" borderId="15" xfId="2" applyNumberFormat="1" applyFont="1" applyFill="1" applyBorder="1" applyAlignment="1" applyProtection="1">
      <alignment vertical="center"/>
      <protection locked="0"/>
    </xf>
    <xf numFmtId="0" fontId="13" fillId="6" borderId="5" xfId="7" applyAlignment="1">
      <alignment vertical="center"/>
    </xf>
    <xf numFmtId="0" fontId="13" fillId="7" borderId="5" xfId="7" applyFill="1" applyAlignment="1">
      <alignment vertical="center"/>
    </xf>
    <xf numFmtId="0" fontId="13" fillId="8" borderId="5" xfId="8">
      <alignment vertical="center"/>
    </xf>
    <xf numFmtId="167" fontId="14" fillId="0" borderId="5" xfId="9" applyNumberFormat="1">
      <alignment vertical="center"/>
    </xf>
    <xf numFmtId="0" fontId="1" fillId="0" borderId="0" xfId="11" applyFont="1" applyFill="1"/>
    <xf numFmtId="0" fontId="13" fillId="6" borderId="5" xfId="7" applyFill="1" applyAlignment="1">
      <alignment vertical="center"/>
    </xf>
    <xf numFmtId="0" fontId="0" fillId="0" borderId="0" xfId="0" applyAlignment="1"/>
    <xf numFmtId="166" fontId="16" fillId="0" borderId="6" xfId="2" applyNumberFormat="1" applyFont="1" applyFill="1" applyBorder="1" applyAlignment="1" applyProtection="1">
      <alignment vertical="center"/>
      <protection locked="0"/>
    </xf>
    <xf numFmtId="0" fontId="0" fillId="0" borderId="0" xfId="0" applyAlignment="1">
      <alignment horizontal="right"/>
    </xf>
    <xf numFmtId="0" fontId="13" fillId="6" borderId="0" xfId="7" applyBorder="1" applyAlignment="1">
      <alignment vertical="center"/>
    </xf>
    <xf numFmtId="164" fontId="0" fillId="0" borderId="0" xfId="0" applyNumberFormat="1"/>
    <xf numFmtId="165" fontId="0" fillId="0" borderId="0" xfId="3" applyNumberFormat="1" applyFont="1"/>
    <xf numFmtId="164" fontId="16" fillId="0" borderId="5" xfId="1" applyNumberFormat="1" applyFont="1" applyFill="1" applyBorder="1" applyAlignment="1" applyProtection="1">
      <alignment vertical="center"/>
      <protection locked="0"/>
    </xf>
    <xf numFmtId="164" fontId="1" fillId="0" borderId="0" xfId="0" applyNumberFormat="1" applyFont="1"/>
    <xf numFmtId="0" fontId="13" fillId="0" borderId="0" xfId="7" applyFill="1" applyBorder="1" applyAlignment="1">
      <alignment vertical="center"/>
    </xf>
    <xf numFmtId="0" fontId="17" fillId="6" borderId="0" xfId="7" applyFont="1" applyBorder="1" applyAlignment="1">
      <alignment horizontal="center" vertical="center"/>
    </xf>
    <xf numFmtId="44" fontId="0" fillId="0" borderId="0" xfId="0" applyNumberFormat="1"/>
    <xf numFmtId="0" fontId="0" fillId="10" borderId="0" xfId="0" applyFill="1" applyAlignment="1">
      <alignment horizontal="left"/>
    </xf>
    <xf numFmtId="164" fontId="16" fillId="4" borderId="5" xfId="1" applyNumberFormat="1" applyFont="1" applyFill="1" applyBorder="1" applyAlignment="1" applyProtection="1">
      <alignment vertical="center"/>
      <protection locked="0"/>
    </xf>
    <xf numFmtId="0" fontId="1" fillId="0" borderId="0" xfId="0" applyFont="1"/>
    <xf numFmtId="166" fontId="1" fillId="0" borderId="0" xfId="0" applyNumberFormat="1" applyFont="1"/>
    <xf numFmtId="166" fontId="0" fillId="0" borderId="1" xfId="0" applyNumberFormat="1" applyBorder="1"/>
    <xf numFmtId="0" fontId="18" fillId="0" borderId="0" xfId="5" applyFont="1" applyFill="1" applyAlignment="1">
      <alignment vertical="center"/>
    </xf>
    <xf numFmtId="166" fontId="10" fillId="0" borderId="24" xfId="2" applyNumberFormat="1" applyFont="1" applyFill="1" applyBorder="1" applyAlignment="1" applyProtection="1">
      <alignment vertical="center"/>
      <protection locked="0"/>
    </xf>
    <xf numFmtId="0" fontId="5" fillId="0" borderId="8" xfId="0" applyFont="1" applyBorder="1"/>
    <xf numFmtId="166" fontId="10" fillId="0" borderId="25" xfId="2" applyNumberFormat="1" applyFont="1" applyFill="1" applyBorder="1" applyAlignment="1" applyProtection="1">
      <alignment vertical="center"/>
      <protection locked="0"/>
    </xf>
    <xf numFmtId="0" fontId="5" fillId="0" borderId="7" xfId="0" applyFont="1" applyBorder="1"/>
    <xf numFmtId="166" fontId="10" fillId="0" borderId="26" xfId="2" applyNumberFormat="1" applyFont="1" applyFill="1" applyBorder="1" applyAlignment="1" applyProtection="1">
      <alignment vertical="center"/>
      <protection locked="0"/>
    </xf>
    <xf numFmtId="166" fontId="10" fillId="0" borderId="27" xfId="2" applyNumberFormat="1" applyFont="1" applyFill="1" applyBorder="1" applyAlignment="1" applyProtection="1">
      <alignment vertical="center"/>
      <protection locked="0"/>
    </xf>
    <xf numFmtId="166" fontId="10" fillId="0" borderId="28" xfId="2" applyNumberFormat="1" applyFont="1" applyFill="1" applyBorder="1" applyAlignment="1" applyProtection="1">
      <alignment vertical="center"/>
      <protection locked="0"/>
    </xf>
    <xf numFmtId="0" fontId="3" fillId="0" borderId="18" xfId="0" applyFont="1" applyBorder="1" applyAlignment="1">
      <alignment vertical="center"/>
    </xf>
    <xf numFmtId="166" fontId="10" fillId="0" borderId="6" xfId="2" applyNumberFormat="1" applyFont="1" applyFill="1" applyBorder="1" applyAlignment="1" applyProtection="1">
      <alignment vertical="center"/>
      <protection locked="0"/>
    </xf>
    <xf numFmtId="0" fontId="13" fillId="8" borderId="13" xfId="8" applyBorder="1" applyAlignment="1">
      <alignment horizontal="center" vertical="center"/>
    </xf>
    <xf numFmtId="0" fontId="13" fillId="8" borderId="19" xfId="8" applyBorder="1" applyAlignment="1">
      <alignment horizontal="center" vertical="center"/>
    </xf>
    <xf numFmtId="0" fontId="13" fillId="8" borderId="6" xfId="8" applyBorder="1" applyAlignment="1">
      <alignment horizontal="center" vertical="center"/>
    </xf>
    <xf numFmtId="0" fontId="13" fillId="10" borderId="13" xfId="8" applyFill="1" applyBorder="1" applyAlignment="1">
      <alignment horizontal="center" vertical="center"/>
    </xf>
    <xf numFmtId="0" fontId="13" fillId="10" borderId="19" xfId="8" applyFill="1" applyBorder="1" applyAlignment="1">
      <alignment horizontal="center" vertical="center"/>
    </xf>
    <xf numFmtId="0" fontId="13" fillId="10" borderId="6" xfId="8"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xf>
    <xf numFmtId="0" fontId="12" fillId="5" borderId="18" xfId="6" applyBorder="1" applyAlignment="1">
      <alignment horizontal="left" vertical="center"/>
    </xf>
    <xf numFmtId="166" fontId="0" fillId="0" borderId="1" xfId="0" applyNumberFormat="1" applyBorder="1" applyAlignment="1">
      <alignment horizontal="center"/>
    </xf>
    <xf numFmtId="0" fontId="0" fillId="0" borderId="1" xfId="0" applyBorder="1" applyAlignment="1">
      <alignment horizontal="center"/>
    </xf>
    <xf numFmtId="0" fontId="3"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0" fillId="0" borderId="2" xfId="0" applyBorder="1" applyAlignment="1">
      <alignment horizontal="center" vertical="center"/>
    </xf>
    <xf numFmtId="0" fontId="0" fillId="0" borderId="11"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3" fillId="0" borderId="3"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4" xfId="0" applyFont="1" applyBorder="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9" xfId="0" applyFont="1" applyBorder="1" applyAlignment="1">
      <alignment horizontal="center" vertical="center" wrapText="1"/>
    </xf>
    <xf numFmtId="0" fontId="0" fillId="0" borderId="0" xfId="0" applyAlignment="1">
      <alignment horizontal="right" vertical="center"/>
    </xf>
    <xf numFmtId="0" fontId="21" fillId="14" borderId="0" xfId="15" applyFont="1" applyFill="1" applyBorder="1"/>
    <xf numFmtId="0" fontId="22" fillId="14" borderId="0" xfId="15" applyFont="1" applyFill="1" applyBorder="1"/>
    <xf numFmtId="0" fontId="24" fillId="0" borderId="0" xfId="16" applyFont="1"/>
    <xf numFmtId="0" fontId="2" fillId="0" borderId="0" xfId="17" applyAlignment="1">
      <alignment vertical="center"/>
    </xf>
    <xf numFmtId="0" fontId="25" fillId="0" borderId="0" xfId="18" applyAlignment="1">
      <alignment vertical="center"/>
    </xf>
    <xf numFmtId="0" fontId="12" fillId="5" borderId="17" xfId="6">
      <alignment vertical="center"/>
    </xf>
    <xf numFmtId="0" fontId="12" fillId="5" borderId="31" xfId="6" applyBorder="1">
      <alignment vertical="center"/>
    </xf>
    <xf numFmtId="0" fontId="0" fillId="6" borderId="5" xfId="7" applyFont="1" applyAlignment="1">
      <alignment vertical="center"/>
    </xf>
    <xf numFmtId="0" fontId="0" fillId="6" borderId="1" xfId="7" applyFont="1" applyBorder="1" applyAlignment="1">
      <alignment vertical="center"/>
    </xf>
    <xf numFmtId="168" fontId="15" fillId="12" borderId="30" xfId="14" applyNumberFormat="1" applyFont="1" applyAlignment="1">
      <alignment vertical="center"/>
    </xf>
    <xf numFmtId="168" fontId="26" fillId="12" borderId="30" xfId="14" applyNumberFormat="1" applyFont="1" applyAlignment="1">
      <alignment vertical="center"/>
    </xf>
    <xf numFmtId="0" fontId="13" fillId="8" borderId="1" xfId="8" applyBorder="1">
      <alignment vertical="center"/>
    </xf>
    <xf numFmtId="2" fontId="13" fillId="8" borderId="1" xfId="8" applyNumberFormat="1" applyBorder="1" applyAlignment="1">
      <alignment horizontal="center" vertical="center"/>
    </xf>
    <xf numFmtId="2" fontId="19" fillId="11" borderId="1" xfId="13" applyNumberFormat="1" applyBorder="1" applyAlignment="1">
      <alignment vertical="center"/>
    </xf>
    <xf numFmtId="9" fontId="26" fillId="12" borderId="30" xfId="3" applyFont="1" applyFill="1" applyBorder="1" applyAlignment="1">
      <alignment vertical="center"/>
    </xf>
    <xf numFmtId="0" fontId="13" fillId="8" borderId="1" xfId="8" applyBorder="1" applyAlignment="1">
      <alignment horizontal="center" vertical="center"/>
    </xf>
    <xf numFmtId="168" fontId="0" fillId="0" borderId="0" xfId="0" applyNumberFormat="1" applyAlignment="1">
      <alignment vertical="center"/>
    </xf>
    <xf numFmtId="0" fontId="0" fillId="6" borderId="13" xfId="7" applyFont="1" applyBorder="1" applyAlignment="1">
      <alignment vertical="center"/>
    </xf>
    <xf numFmtId="0" fontId="27" fillId="8" borderId="1" xfId="8" applyFont="1" applyBorder="1">
      <alignment vertical="center"/>
    </xf>
    <xf numFmtId="0" fontId="17" fillId="8" borderId="1" xfId="8" applyFont="1" applyBorder="1">
      <alignment vertical="center"/>
    </xf>
    <xf numFmtId="2" fontId="0" fillId="0" borderId="0" xfId="0" applyNumberFormat="1" applyAlignment="1">
      <alignment vertical="center"/>
    </xf>
    <xf numFmtId="0" fontId="28" fillId="0" borderId="0" xfId="0" applyFont="1" applyAlignment="1">
      <alignment vertical="center"/>
    </xf>
    <xf numFmtId="0" fontId="13" fillId="10" borderId="1" xfId="8" applyFill="1" applyBorder="1">
      <alignment vertical="center"/>
    </xf>
    <xf numFmtId="168" fontId="0" fillId="10" borderId="1" xfId="0" applyNumberFormat="1" applyFill="1" applyBorder="1" applyAlignment="1">
      <alignment horizontal="center" vertical="center"/>
    </xf>
    <xf numFmtId="168" fontId="26" fillId="12" borderId="1" xfId="14" applyNumberFormat="1" applyFont="1" applyBorder="1" applyAlignment="1">
      <alignment vertical="center"/>
    </xf>
    <xf numFmtId="0" fontId="0" fillId="10" borderId="1" xfId="0" applyFill="1" applyBorder="1" applyAlignment="1">
      <alignment horizontal="center" vertical="center"/>
    </xf>
    <xf numFmtId="168" fontId="0" fillId="10" borderId="1" xfId="0" applyNumberFormat="1" applyFill="1" applyBorder="1" applyAlignment="1">
      <alignment horizontal="center" vertical="center"/>
    </xf>
    <xf numFmtId="165" fontId="13" fillId="8" borderId="1" xfId="3" applyNumberFormat="1" applyFont="1" applyFill="1" applyBorder="1" applyAlignment="1">
      <alignment horizontal="center" vertical="center"/>
    </xf>
    <xf numFmtId="165" fontId="19" fillId="11" borderId="1" xfId="3" applyNumberFormat="1" applyFont="1" applyFill="1" applyBorder="1" applyAlignment="1">
      <alignment vertical="center"/>
    </xf>
    <xf numFmtId="0" fontId="13" fillId="8" borderId="32" xfId="8" applyBorder="1">
      <alignment vertical="center"/>
    </xf>
    <xf numFmtId="0" fontId="13" fillId="8" borderId="6" xfId="8" applyBorder="1">
      <alignment vertical="center"/>
    </xf>
    <xf numFmtId="168" fontId="26" fillId="7" borderId="30" xfId="14" applyNumberFormat="1" applyFont="1" applyFill="1" applyAlignment="1">
      <alignment vertical="center"/>
    </xf>
    <xf numFmtId="0" fontId="2" fillId="0" borderId="0" xfId="4" applyAlignment="1">
      <alignment vertical="center"/>
    </xf>
    <xf numFmtId="165" fontId="0" fillId="10" borderId="1" xfId="3" applyNumberFormat="1" applyFont="1" applyFill="1" applyBorder="1" applyAlignment="1">
      <alignment horizontal="center" vertical="center"/>
    </xf>
    <xf numFmtId="165" fontId="0" fillId="10" borderId="1" xfId="3" applyNumberFormat="1" applyFont="1" applyFill="1" applyBorder="1" applyAlignment="1">
      <alignment horizontal="center" vertical="center"/>
    </xf>
    <xf numFmtId="0" fontId="5" fillId="0" borderId="0" xfId="0" applyFont="1" applyAlignment="1">
      <alignment horizontal="right" vertical="center"/>
    </xf>
  </cellXfs>
  <cellStyles count="19">
    <cellStyle name="Accent1" xfId="15" builtinId="29"/>
    <cellStyle name="Calculation" xfId="13" builtinId="22"/>
    <cellStyle name="Calculation 2" xfId="10" xr:uid="{161E4054-A94F-4A6A-9357-873A08B8249C}"/>
    <cellStyle name="Comma" xfId="1" builtinId="3"/>
    <cellStyle name="Currency" xfId="2" builtinId="4"/>
    <cellStyle name="Explanatory Text" xfId="4" builtinId="53"/>
    <cellStyle name="Explanatory Text 2" xfId="18" xr:uid="{365FF700-21A4-4F81-9C69-0C6BEBE6A884}"/>
    <cellStyle name="Explanatory Text 2 2" xfId="17" xr:uid="{DB8CF1D2-0236-4AEA-8991-61BF2F64A7C1}"/>
    <cellStyle name="Hyperlink" xfId="5" builtinId="8"/>
    <cellStyle name="Normal" xfId="0" builtinId="0"/>
    <cellStyle name="Normal 2 2 3" xfId="11" xr:uid="{D8919B86-0B78-48C5-B696-4472C34828E9}"/>
    <cellStyle name="Normal 2 5" xfId="16" xr:uid="{7E2DEA88-A264-4719-971A-C349809B4960}"/>
    <cellStyle name="Note" xfId="14" builtinId="10"/>
    <cellStyle name="Percent" xfId="3" builtinId="5"/>
    <cellStyle name="Percent 2" xfId="12" xr:uid="{9CB7BFA4-C343-4011-B5D6-A21A65356F41}"/>
    <cellStyle name="Table Header" xfId="6" xr:uid="{0F7A1722-BEC0-4AF7-8672-128EB0E6A327}"/>
    <cellStyle name="Table Index" xfId="8" xr:uid="{107F5716-258B-4F14-AD62-C422F7C541D8}"/>
    <cellStyle name="Table Sub-Header" xfId="7" xr:uid="{31CC383A-F2E6-4027-8824-4B8D30F23232}"/>
    <cellStyle name="Table Value" xfId="9" xr:uid="{9482E14E-EDF4-4D61-AA19-4EE09FDC63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eia.gov/analysis/studies/buildings/equipcosts/"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climate.ny.gov/-/media/Project/Climate/Files/IA-Tech-Supplement-Annex-1-Input-Assumptions.ash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B1F0E-21A6-4E25-B552-5078A6786E0D}">
  <dimension ref="A1:Y71"/>
  <sheetViews>
    <sheetView workbookViewId="0">
      <selection activeCell="K3" sqref="K3"/>
    </sheetView>
  </sheetViews>
  <sheetFormatPr defaultColWidth="8" defaultRowHeight="14.4" x14ac:dyDescent="0.3"/>
  <cols>
    <col min="1" max="1" width="8" style="2"/>
    <col min="2" max="2" width="20.109375" style="2" bestFit="1" customWidth="1"/>
    <col min="3" max="3" width="16" style="2" bestFit="1" customWidth="1"/>
    <col min="4" max="4" width="18.6640625" style="2" bestFit="1" customWidth="1"/>
    <col min="5" max="6" width="8" style="2"/>
    <col min="7" max="7" width="13.44140625" style="2" bestFit="1" customWidth="1"/>
    <col min="8" max="8" width="19.77734375" style="2" bestFit="1" customWidth="1"/>
    <col min="9" max="9" width="19" style="2" customWidth="1"/>
    <col min="10" max="10" width="4" style="2" customWidth="1"/>
    <col min="11" max="11" width="16.21875" style="2" bestFit="1" customWidth="1"/>
    <col min="12" max="12" width="19.5546875" style="2" customWidth="1"/>
    <col min="13" max="13" width="22.77734375" style="2" customWidth="1"/>
    <col min="14" max="14" width="8.5546875" style="2" customWidth="1"/>
    <col min="15" max="15" width="9.6640625" style="2" bestFit="1" customWidth="1"/>
    <col min="16" max="16384" width="8" style="2"/>
  </cols>
  <sheetData>
    <row r="1" spans="1:25" x14ac:dyDescent="0.3">
      <c r="B1" s="115" t="s">
        <v>105</v>
      </c>
      <c r="C1" s="2" t="s">
        <v>106</v>
      </c>
      <c r="K1" s="115" t="s">
        <v>105</v>
      </c>
      <c r="L1" s="2" t="s">
        <v>106</v>
      </c>
    </row>
    <row r="2" spans="1:25" x14ac:dyDescent="0.3">
      <c r="B2" s="115" t="s">
        <v>75</v>
      </c>
      <c r="C2" s="2" t="s">
        <v>107</v>
      </c>
      <c r="K2" s="115" t="s">
        <v>75</v>
      </c>
      <c r="L2" s="2" t="s">
        <v>108</v>
      </c>
    </row>
    <row r="4" spans="1:25" s="118" customFormat="1" ht="18" x14ac:dyDescent="0.35">
      <c r="A4" s="116" t="s">
        <v>109</v>
      </c>
      <c r="B4" s="117"/>
      <c r="C4" s="117"/>
      <c r="D4" s="117"/>
      <c r="E4" s="117"/>
      <c r="F4" s="117"/>
      <c r="G4" s="117"/>
      <c r="H4" s="117"/>
      <c r="I4" s="117"/>
      <c r="J4" s="117"/>
      <c r="K4" s="116" t="s">
        <v>110</v>
      </c>
      <c r="L4" s="117"/>
      <c r="M4" s="117"/>
      <c r="N4" s="117"/>
      <c r="O4" s="117"/>
      <c r="P4" s="117"/>
      <c r="Q4" s="117"/>
      <c r="R4" s="117"/>
      <c r="S4" s="117"/>
      <c r="T4" s="117"/>
      <c r="U4" s="117"/>
      <c r="V4" s="117"/>
      <c r="W4" s="117"/>
      <c r="X4" s="117"/>
      <c r="Y4" s="117"/>
    </row>
    <row r="5" spans="1:25" s="119" customFormat="1" x14ac:dyDescent="0.3">
      <c r="A5" s="119" t="s">
        <v>111</v>
      </c>
      <c r="K5" s="119" t="s">
        <v>112</v>
      </c>
    </row>
    <row r="6" spans="1:25" s="119" customFormat="1" x14ac:dyDescent="0.3">
      <c r="A6" s="119" t="s">
        <v>113</v>
      </c>
      <c r="K6" s="119" t="s">
        <v>113</v>
      </c>
    </row>
    <row r="7" spans="1:25" x14ac:dyDescent="0.3">
      <c r="B7" s="120"/>
    </row>
    <row r="8" spans="1:25" x14ac:dyDescent="0.3">
      <c r="B8" s="121" t="s">
        <v>114</v>
      </c>
      <c r="C8" s="121"/>
      <c r="D8" s="121"/>
      <c r="G8" s="121" t="s">
        <v>115</v>
      </c>
      <c r="H8" s="121"/>
      <c r="I8" s="121"/>
      <c r="K8" s="122" t="s">
        <v>116</v>
      </c>
      <c r="L8" s="122"/>
      <c r="M8" s="122"/>
      <c r="N8" s="122"/>
    </row>
    <row r="9" spans="1:25" x14ac:dyDescent="0.3">
      <c r="B9" s="123" t="s">
        <v>117</v>
      </c>
      <c r="C9" s="123" t="s">
        <v>118</v>
      </c>
      <c r="D9" s="123" t="s">
        <v>119</v>
      </c>
      <c r="G9" s="123" t="s">
        <v>117</v>
      </c>
      <c r="H9" s="123" t="s">
        <v>119</v>
      </c>
      <c r="I9" s="123" t="s">
        <v>120</v>
      </c>
      <c r="K9" s="124" t="s">
        <v>117</v>
      </c>
      <c r="L9" s="124" t="s">
        <v>121</v>
      </c>
      <c r="M9" s="124" t="s">
        <v>122</v>
      </c>
      <c r="N9" s="124">
        <v>2020</v>
      </c>
    </row>
    <row r="10" spans="1:25" x14ac:dyDescent="0.3">
      <c r="B10" s="49" t="s">
        <v>123</v>
      </c>
      <c r="C10" s="49" t="s">
        <v>124</v>
      </c>
      <c r="D10" s="125">
        <v>74.415272516264338</v>
      </c>
      <c r="G10" s="49" t="s">
        <v>125</v>
      </c>
      <c r="H10" s="126">
        <v>-29.106999999999999</v>
      </c>
      <c r="I10" s="126"/>
      <c r="K10" s="127" t="s">
        <v>123</v>
      </c>
      <c r="L10" s="127" t="s">
        <v>124</v>
      </c>
      <c r="M10" s="128">
        <f>SUM(N10:N15)</f>
        <v>105.21306523202834</v>
      </c>
      <c r="N10" s="129">
        <v>75.815765023177335</v>
      </c>
    </row>
    <row r="11" spans="1:25" x14ac:dyDescent="0.3">
      <c r="B11" s="49" t="s">
        <v>123</v>
      </c>
      <c r="C11" s="49" t="s">
        <v>126</v>
      </c>
      <c r="D11" s="125">
        <v>15.621097872356795</v>
      </c>
      <c r="G11" s="49" t="s">
        <v>127</v>
      </c>
      <c r="H11" s="126">
        <v>220.22001401163274</v>
      </c>
      <c r="I11" s="130">
        <v>0.57601395651876552</v>
      </c>
      <c r="K11" s="127" t="s">
        <v>123</v>
      </c>
      <c r="L11" s="127" t="s">
        <v>126</v>
      </c>
      <c r="M11" s="131"/>
      <c r="N11" s="129">
        <v>15.621097872356795</v>
      </c>
    </row>
    <row r="12" spans="1:25" x14ac:dyDescent="0.3">
      <c r="B12" s="49" t="s">
        <v>123</v>
      </c>
      <c r="C12" s="49" t="s">
        <v>128</v>
      </c>
      <c r="D12" s="125">
        <v>4.7918305567898649</v>
      </c>
      <c r="G12" s="49" t="s">
        <v>129</v>
      </c>
      <c r="H12" s="126">
        <v>137.95094167240165</v>
      </c>
      <c r="I12" s="130">
        <v>0.36082854719104734</v>
      </c>
      <c r="K12" s="127" t="s">
        <v>123</v>
      </c>
      <c r="L12" s="127" t="s">
        <v>130</v>
      </c>
      <c r="M12" s="131"/>
      <c r="N12" s="129">
        <v>0</v>
      </c>
    </row>
    <row r="13" spans="1:25" x14ac:dyDescent="0.3">
      <c r="B13" s="49" t="s">
        <v>123</v>
      </c>
      <c r="C13" s="49" t="s">
        <v>131</v>
      </c>
      <c r="D13" s="125">
        <v>10.384864286617342</v>
      </c>
      <c r="E13" s="132">
        <f>SUM(D10:D13)</f>
        <v>105.21306523202834</v>
      </c>
      <c r="G13" s="49" t="s">
        <v>132</v>
      </c>
      <c r="H13" s="126">
        <v>21.314240084432111</v>
      </c>
      <c r="I13" s="130">
        <v>5.5750154300580876E-2</v>
      </c>
      <c r="K13" s="127" t="s">
        <v>123</v>
      </c>
      <c r="L13" s="127" t="s">
        <v>133</v>
      </c>
      <c r="M13" s="131"/>
      <c r="N13" s="129">
        <v>5.4605935191084107</v>
      </c>
    </row>
    <row r="14" spans="1:25" x14ac:dyDescent="0.3">
      <c r="B14" s="49" t="s">
        <v>134</v>
      </c>
      <c r="C14" s="49" t="s">
        <v>135</v>
      </c>
      <c r="D14" s="126">
        <v>1.1380625157368756</v>
      </c>
      <c r="G14" s="49" t="s">
        <v>136</v>
      </c>
      <c r="H14" s="126">
        <v>2.8319538759072804</v>
      </c>
      <c r="I14" s="130">
        <v>7.4073419896060772E-3</v>
      </c>
      <c r="K14" s="127" t="s">
        <v>123</v>
      </c>
      <c r="L14" s="127" t="s">
        <v>137</v>
      </c>
      <c r="M14" s="131"/>
      <c r="N14" s="129">
        <v>0.12367883584889708</v>
      </c>
    </row>
    <row r="15" spans="1:25" x14ac:dyDescent="0.3">
      <c r="B15" s="49" t="s">
        <v>134</v>
      </c>
      <c r="C15" s="49" t="s">
        <v>131</v>
      </c>
      <c r="D15" s="126">
        <v>14.133005633084146</v>
      </c>
      <c r="E15" s="132">
        <f>D14+D15</f>
        <v>15.271068148821021</v>
      </c>
      <c r="G15" s="49" t="s">
        <v>131</v>
      </c>
      <c r="H15" s="126">
        <v>0</v>
      </c>
      <c r="I15" s="130">
        <v>0</v>
      </c>
      <c r="K15" s="127" t="s">
        <v>123</v>
      </c>
      <c r="L15" s="127" t="s">
        <v>131</v>
      </c>
      <c r="M15" s="131"/>
      <c r="N15" s="129">
        <v>8.1919299815368962</v>
      </c>
    </row>
    <row r="16" spans="1:25" x14ac:dyDescent="0.3">
      <c r="B16" s="49" t="s">
        <v>138</v>
      </c>
      <c r="C16" s="49" t="s">
        <v>139</v>
      </c>
      <c r="D16" s="126">
        <v>69.378681514823199</v>
      </c>
      <c r="G16" s="49" t="s">
        <v>140</v>
      </c>
      <c r="H16" s="126">
        <v>353.21014964437381</v>
      </c>
      <c r="I16" s="126"/>
      <c r="K16" s="127" t="s">
        <v>134</v>
      </c>
      <c r="L16" s="127" t="s">
        <v>135</v>
      </c>
      <c r="M16" s="128">
        <f>SUM(N16:N24)</f>
        <v>15.271068148821024</v>
      </c>
      <c r="N16" s="129">
        <v>1.1380625157368756</v>
      </c>
    </row>
    <row r="17" spans="2:14" x14ac:dyDescent="0.3">
      <c r="B17" s="49" t="s">
        <v>138</v>
      </c>
      <c r="C17" s="49" t="s">
        <v>141</v>
      </c>
      <c r="D17" s="126">
        <v>14.221655391110671</v>
      </c>
      <c r="G17" s="49"/>
      <c r="H17" s="126"/>
      <c r="I17" s="126"/>
      <c r="K17" s="127" t="s">
        <v>134</v>
      </c>
      <c r="L17" s="127" t="s">
        <v>142</v>
      </c>
      <c r="M17" s="131"/>
      <c r="N17" s="129">
        <v>0.79320576651236696</v>
      </c>
    </row>
    <row r="18" spans="2:14" x14ac:dyDescent="0.3">
      <c r="B18" s="49" t="s">
        <v>138</v>
      </c>
      <c r="C18" s="49" t="s">
        <v>143</v>
      </c>
      <c r="D18" s="126">
        <v>9.613637040598153</v>
      </c>
      <c r="G18" s="49" t="s">
        <v>144</v>
      </c>
      <c r="H18" s="126">
        <v>382.31714964437384</v>
      </c>
      <c r="I18" s="126"/>
      <c r="K18" s="127" t="s">
        <v>134</v>
      </c>
      <c r="L18" s="127" t="s">
        <v>145</v>
      </c>
      <c r="M18" s="131"/>
      <c r="N18" s="129">
        <v>3.3858065418683996</v>
      </c>
    </row>
    <row r="19" spans="2:14" x14ac:dyDescent="0.3">
      <c r="B19" s="49" t="s">
        <v>138</v>
      </c>
      <c r="C19" s="49" t="s">
        <v>131</v>
      </c>
      <c r="D19" s="126">
        <v>10.778730306400586</v>
      </c>
      <c r="E19" s="132">
        <f>SUM(D16:D19)</f>
        <v>103.99270425293261</v>
      </c>
      <c r="K19" s="127" t="s">
        <v>134</v>
      </c>
      <c r="L19" s="127" t="s">
        <v>146</v>
      </c>
      <c r="M19" s="131"/>
      <c r="N19" s="129">
        <v>5.4826193581977671</v>
      </c>
    </row>
    <row r="20" spans="2:14" x14ac:dyDescent="0.3">
      <c r="B20" s="49" t="s">
        <v>147</v>
      </c>
      <c r="C20" s="49" t="s">
        <v>7</v>
      </c>
      <c r="D20" s="126">
        <v>51.693936569808358</v>
      </c>
      <c r="K20" s="127" t="s">
        <v>134</v>
      </c>
      <c r="L20" s="127" t="s">
        <v>148</v>
      </c>
      <c r="M20" s="131"/>
      <c r="N20" s="129">
        <v>1.0502374052749657</v>
      </c>
    </row>
    <row r="21" spans="2:14" x14ac:dyDescent="0.3">
      <c r="B21" s="49" t="s">
        <v>147</v>
      </c>
      <c r="C21" s="49" t="s">
        <v>131</v>
      </c>
      <c r="D21" s="126">
        <v>9.731847990174787E-2</v>
      </c>
      <c r="K21" s="127" t="s">
        <v>134</v>
      </c>
      <c r="L21" s="127" t="s">
        <v>149</v>
      </c>
      <c r="M21" s="131"/>
      <c r="N21" s="129">
        <v>1.2045481912124703</v>
      </c>
    </row>
    <row r="22" spans="2:14" x14ac:dyDescent="0.3">
      <c r="B22" s="49" t="s">
        <v>150</v>
      </c>
      <c r="C22" s="49" t="s">
        <v>150</v>
      </c>
      <c r="D22" s="126">
        <v>12.460066546666368</v>
      </c>
      <c r="G22" s="121" t="s">
        <v>151</v>
      </c>
      <c r="H22" s="121"/>
      <c r="I22" s="121"/>
      <c r="K22" s="127" t="s">
        <v>134</v>
      </c>
      <c r="L22" s="127" t="s">
        <v>152</v>
      </c>
      <c r="M22" s="131"/>
      <c r="N22" s="129">
        <v>0.76670858667542696</v>
      </c>
    </row>
    <row r="23" spans="2:14" x14ac:dyDescent="0.3">
      <c r="B23" s="49" t="s">
        <v>153</v>
      </c>
      <c r="C23" s="49" t="s">
        <v>154</v>
      </c>
      <c r="D23" s="126">
        <v>21.314240084432111</v>
      </c>
      <c r="G23" s="133" t="s">
        <v>155</v>
      </c>
      <c r="H23" s="133" t="s">
        <v>117</v>
      </c>
      <c r="I23" s="123" t="s">
        <v>119</v>
      </c>
      <c r="K23" s="127" t="s">
        <v>134</v>
      </c>
      <c r="L23" s="127" t="s">
        <v>156</v>
      </c>
      <c r="M23" s="131"/>
      <c r="N23" s="129">
        <v>0.55188292826152185</v>
      </c>
    </row>
    <row r="24" spans="2:14" x14ac:dyDescent="0.3">
      <c r="B24" s="49" t="s">
        <v>153</v>
      </c>
      <c r="C24" s="49" t="s">
        <v>131</v>
      </c>
      <c r="D24" s="126">
        <v>3.3000195973538844</v>
      </c>
      <c r="G24" s="134" t="s">
        <v>127</v>
      </c>
      <c r="H24" s="134" t="s">
        <v>157</v>
      </c>
      <c r="I24" s="126">
        <v>48.457439928179348</v>
      </c>
      <c r="K24" s="127" t="s">
        <v>134</v>
      </c>
      <c r="L24" s="127" t="s">
        <v>158</v>
      </c>
      <c r="M24" s="131"/>
      <c r="N24" s="129">
        <v>0.89799685508122762</v>
      </c>
    </row>
    <row r="25" spans="2:14" x14ac:dyDescent="0.3">
      <c r="B25" s="49" t="s">
        <v>159</v>
      </c>
      <c r="C25" s="49" t="s">
        <v>160</v>
      </c>
      <c r="D25" s="126">
        <v>37.72</v>
      </c>
      <c r="G25" s="134" t="s">
        <v>127</v>
      </c>
      <c r="H25" s="134" t="s">
        <v>161</v>
      </c>
      <c r="I25" s="126">
        <v>26.215897991135215</v>
      </c>
      <c r="K25" s="127" t="s">
        <v>138</v>
      </c>
      <c r="L25" s="127" t="s">
        <v>162</v>
      </c>
      <c r="M25" s="128">
        <f>SUM(N25:N29)</f>
        <v>103.99270425293261</v>
      </c>
      <c r="N25" s="129">
        <v>2.6931869381608333</v>
      </c>
    </row>
    <row r="26" spans="2:14" x14ac:dyDescent="0.3">
      <c r="B26" s="49" t="s">
        <v>159</v>
      </c>
      <c r="C26" s="49" t="s">
        <v>131</v>
      </c>
      <c r="D26" s="126">
        <v>10.02</v>
      </c>
      <c r="G26" s="134" t="s">
        <v>129</v>
      </c>
      <c r="H26" s="134" t="s">
        <v>157</v>
      </c>
      <c r="I26" s="126">
        <v>19.446303682508901</v>
      </c>
      <c r="K26" s="127" t="s">
        <v>138</v>
      </c>
      <c r="L26" s="127" t="s">
        <v>163</v>
      </c>
      <c r="M26" s="131"/>
      <c r="N26" s="129">
        <v>69.378681514823199</v>
      </c>
    </row>
    <row r="27" spans="2:14" x14ac:dyDescent="0.3">
      <c r="B27" s="49" t="s">
        <v>164</v>
      </c>
      <c r="C27" s="49" t="s">
        <v>165</v>
      </c>
      <c r="D27" s="126">
        <v>13.4</v>
      </c>
      <c r="G27" s="134" t="s">
        <v>129</v>
      </c>
      <c r="H27" s="134" t="s">
        <v>161</v>
      </c>
      <c r="I27" s="126">
        <v>10.901183643533612</v>
      </c>
      <c r="K27" s="127" t="s">
        <v>138</v>
      </c>
      <c r="L27" s="127" t="s">
        <v>166</v>
      </c>
      <c r="M27" s="131"/>
      <c r="N27" s="129">
        <v>15.983126805275621</v>
      </c>
    </row>
    <row r="28" spans="2:14" x14ac:dyDescent="0.3">
      <c r="B28" s="49" t="s">
        <v>164</v>
      </c>
      <c r="C28" s="49" t="s">
        <v>131</v>
      </c>
      <c r="D28" s="126">
        <v>7.5</v>
      </c>
      <c r="G28" s="135" t="s">
        <v>127</v>
      </c>
      <c r="H28" s="135" t="s">
        <v>123</v>
      </c>
      <c r="I28" s="126">
        <v>74.673337919314562</v>
      </c>
      <c r="K28" s="127" t="s">
        <v>138</v>
      </c>
      <c r="L28" s="127" t="s">
        <v>143</v>
      </c>
      <c r="M28" s="131"/>
      <c r="N28" s="129">
        <v>9.613637040598153</v>
      </c>
    </row>
    <row r="29" spans="2:14" x14ac:dyDescent="0.3">
      <c r="D29" s="132">
        <f>SUM(D10:D28)</f>
        <v>381.98241891194436</v>
      </c>
      <c r="G29" s="127" t="s">
        <v>127</v>
      </c>
      <c r="H29" s="127" t="s">
        <v>167</v>
      </c>
      <c r="I29" s="126">
        <v>14.661683566166728</v>
      </c>
      <c r="K29" s="127" t="s">
        <v>138</v>
      </c>
      <c r="L29" s="127" t="s">
        <v>168</v>
      </c>
      <c r="M29" s="131"/>
      <c r="N29" s="129">
        <v>6.3240719540748032</v>
      </c>
    </row>
    <row r="30" spans="2:14" x14ac:dyDescent="0.3">
      <c r="G30" s="127" t="s">
        <v>127</v>
      </c>
      <c r="H30" s="127" t="s">
        <v>138</v>
      </c>
      <c r="I30" s="126">
        <v>92.269149547401852</v>
      </c>
      <c r="M30" s="115" t="s">
        <v>28</v>
      </c>
      <c r="N30" s="136">
        <f>SUM(N10:N29)</f>
        <v>224.476837633782</v>
      </c>
    </row>
    <row r="31" spans="2:14" x14ac:dyDescent="0.3">
      <c r="B31" s="121" t="s">
        <v>169</v>
      </c>
      <c r="C31" s="121"/>
      <c r="D31" s="137"/>
      <c r="G31" s="127" t="s">
        <v>127</v>
      </c>
      <c r="H31" s="127" t="s">
        <v>170</v>
      </c>
      <c r="I31" s="126">
        <v>34.402842978749604</v>
      </c>
      <c r="K31" s="127" t="s">
        <v>147</v>
      </c>
      <c r="L31" s="138" t="s">
        <v>7</v>
      </c>
      <c r="M31" s="139">
        <f>N31+N32</f>
        <v>51.791255049710102</v>
      </c>
      <c r="N31" s="140">
        <v>51.693936569808358</v>
      </c>
    </row>
    <row r="32" spans="2:14" x14ac:dyDescent="0.3">
      <c r="B32" s="47" t="s">
        <v>117</v>
      </c>
      <c r="C32" s="47">
        <v>2020</v>
      </c>
      <c r="G32" s="127" t="s">
        <v>127</v>
      </c>
      <c r="H32" s="127" t="s">
        <v>131</v>
      </c>
      <c r="I32" s="126">
        <v>4.2129999999999992</v>
      </c>
      <c r="K32" s="127" t="s">
        <v>147</v>
      </c>
      <c r="L32" s="127" t="s">
        <v>131</v>
      </c>
      <c r="M32" s="141"/>
      <c r="N32" s="140">
        <v>9.731847990174787E-2</v>
      </c>
    </row>
    <row r="33" spans="2:14" x14ac:dyDescent="0.3">
      <c r="B33" s="49" t="s">
        <v>138</v>
      </c>
      <c r="C33" s="126">
        <v>76.217913789547424</v>
      </c>
      <c r="G33" s="135" t="s">
        <v>129</v>
      </c>
      <c r="H33" s="135" t="s">
        <v>123</v>
      </c>
      <c r="I33" s="126">
        <v>30.347487326042511</v>
      </c>
      <c r="K33" s="127" t="s">
        <v>150</v>
      </c>
      <c r="L33" s="127" t="s">
        <v>150</v>
      </c>
      <c r="M33" s="142">
        <f>N33</f>
        <v>12.460066546666368</v>
      </c>
      <c r="N33" s="140">
        <v>12.460066546666368</v>
      </c>
    </row>
    <row r="34" spans="2:14" x14ac:dyDescent="0.3">
      <c r="B34" s="49" t="s">
        <v>171</v>
      </c>
      <c r="C34" s="126">
        <v>27.774790463385187</v>
      </c>
      <c r="G34" s="127" t="s">
        <v>129</v>
      </c>
      <c r="H34" s="127" t="s">
        <v>167</v>
      </c>
      <c r="I34" s="126">
        <v>3.8034675317515241</v>
      </c>
      <c r="K34" s="127" t="s">
        <v>153</v>
      </c>
      <c r="L34" s="127" t="s">
        <v>154</v>
      </c>
      <c r="M34" s="139">
        <f>N34+N35</f>
        <v>24.614259681785995</v>
      </c>
      <c r="N34" s="140">
        <v>21.314240084432111</v>
      </c>
    </row>
    <row r="35" spans="2:14" x14ac:dyDescent="0.3">
      <c r="B35" s="49" t="s">
        <v>167</v>
      </c>
      <c r="C35" s="126">
        <v>9.9348242340887971</v>
      </c>
      <c r="G35" s="127" t="s">
        <v>129</v>
      </c>
      <c r="H35" s="127" t="s">
        <v>138</v>
      </c>
      <c r="I35" s="126">
        <v>11.039551686079941</v>
      </c>
      <c r="K35" s="127" t="s">
        <v>153</v>
      </c>
      <c r="L35" s="127" t="s">
        <v>131</v>
      </c>
      <c r="M35" s="139"/>
      <c r="N35" s="140">
        <v>3.3000195973538844</v>
      </c>
    </row>
    <row r="36" spans="2:14" x14ac:dyDescent="0.3">
      <c r="B36" s="49" t="s">
        <v>172</v>
      </c>
      <c r="C36" s="126">
        <v>5.3362439147322256</v>
      </c>
      <c r="G36" s="127" t="s">
        <v>129</v>
      </c>
      <c r="H36" s="127" t="s">
        <v>170</v>
      </c>
      <c r="I36" s="126">
        <v>17.384368581861324</v>
      </c>
      <c r="K36" s="127" t="s">
        <v>159</v>
      </c>
      <c r="L36" s="127" t="s">
        <v>160</v>
      </c>
      <c r="M36" s="139">
        <f>N36+N37</f>
        <v>47.739999999999995</v>
      </c>
      <c r="N36" s="140">
        <v>37.72</v>
      </c>
    </row>
    <row r="37" spans="2:14" x14ac:dyDescent="0.3">
      <c r="B37" s="49" t="s">
        <v>161</v>
      </c>
      <c r="C37" s="126">
        <v>21.721576607794383</v>
      </c>
      <c r="G37" s="127" t="s">
        <v>129</v>
      </c>
      <c r="H37" s="127" t="s">
        <v>150</v>
      </c>
      <c r="I37" s="126">
        <v>12.46006654666637</v>
      </c>
      <c r="K37" s="127" t="s">
        <v>159</v>
      </c>
      <c r="L37" s="127" t="s">
        <v>131</v>
      </c>
      <c r="M37" s="141"/>
      <c r="N37" s="140">
        <v>10.02</v>
      </c>
    </row>
    <row r="38" spans="2:14" x14ac:dyDescent="0.3">
      <c r="B38" s="49" t="s">
        <v>173</v>
      </c>
      <c r="C38" s="126">
        <v>15.486062425963912</v>
      </c>
      <c r="G38" s="127" t="s">
        <v>129</v>
      </c>
      <c r="H38" s="127" t="s">
        <v>159</v>
      </c>
      <c r="I38" s="126">
        <v>43.68</v>
      </c>
      <c r="K38" s="127" t="s">
        <v>164</v>
      </c>
      <c r="L38" s="127" t="s">
        <v>165</v>
      </c>
      <c r="M38" s="139">
        <f>N38+N39</f>
        <v>20.9</v>
      </c>
      <c r="N38" s="140">
        <v>13.4</v>
      </c>
    </row>
    <row r="39" spans="2:14" x14ac:dyDescent="0.3">
      <c r="B39" s="49" t="s">
        <v>157</v>
      </c>
      <c r="C39" s="126">
        <v>41.818623633731555</v>
      </c>
      <c r="G39" s="127" t="s">
        <v>129</v>
      </c>
      <c r="H39" s="127" t="s">
        <v>164</v>
      </c>
      <c r="I39" s="126">
        <v>19.236000000000001</v>
      </c>
      <c r="K39" s="127" t="s">
        <v>164</v>
      </c>
      <c r="L39" s="127" t="s">
        <v>131</v>
      </c>
      <c r="M39" s="141"/>
      <c r="N39" s="140">
        <v>7.5</v>
      </c>
    </row>
    <row r="40" spans="2:14" x14ac:dyDescent="0.3">
      <c r="B40" s="49" t="s">
        <v>174</v>
      </c>
      <c r="C40" s="126">
        <v>26.186802564538535</v>
      </c>
      <c r="G40" s="127" t="s">
        <v>129</v>
      </c>
      <c r="H40" s="127" t="s">
        <v>131</v>
      </c>
      <c r="I40" s="126"/>
      <c r="M40" s="115"/>
      <c r="N40" s="136"/>
    </row>
    <row r="41" spans="2:14" x14ac:dyDescent="0.3">
      <c r="B41" s="49" t="s">
        <v>170</v>
      </c>
      <c r="C41" s="126">
        <v>28.56900918584849</v>
      </c>
      <c r="G41" s="127" t="s">
        <v>132</v>
      </c>
      <c r="H41" s="127" t="s">
        <v>175</v>
      </c>
      <c r="I41" s="126">
        <v>21.314240084432111</v>
      </c>
    </row>
    <row r="42" spans="2:14" x14ac:dyDescent="0.3">
      <c r="B42" s="49" t="s">
        <v>176</v>
      </c>
      <c r="C42" s="126">
        <v>23.222245863861616</v>
      </c>
      <c r="G42" s="127" t="s">
        <v>136</v>
      </c>
      <c r="H42" s="127" t="s">
        <v>164</v>
      </c>
      <c r="I42" s="126">
        <v>1.8480000000000001</v>
      </c>
      <c r="K42" s="124" t="s">
        <v>117</v>
      </c>
      <c r="L42" s="124" t="s">
        <v>121</v>
      </c>
      <c r="M42" s="124"/>
      <c r="N42" s="124">
        <v>2020</v>
      </c>
    </row>
    <row r="43" spans="2:14" x14ac:dyDescent="0.3">
      <c r="B43" s="49" t="s">
        <v>177</v>
      </c>
      <c r="C43" s="126">
        <v>0</v>
      </c>
      <c r="G43" s="127" t="s">
        <v>136</v>
      </c>
      <c r="H43" s="127" t="s">
        <v>131</v>
      </c>
      <c r="I43" s="126">
        <v>0.98395387590728023</v>
      </c>
      <c r="K43" s="127" t="s">
        <v>123</v>
      </c>
      <c r="L43" s="127" t="s">
        <v>124</v>
      </c>
      <c r="M43" s="143">
        <f>SUM(N43:N48)</f>
        <v>0.27524302956841895</v>
      </c>
      <c r="N43" s="144">
        <f>N10/Gross_Total</f>
        <v>0.19833811331327186</v>
      </c>
    </row>
    <row r="44" spans="2:14" x14ac:dyDescent="0.3">
      <c r="B44" s="49" t="s">
        <v>150</v>
      </c>
      <c r="C44" s="126">
        <v>12.460066546666368</v>
      </c>
      <c r="K44" s="127" t="s">
        <v>123</v>
      </c>
      <c r="L44" s="127" t="s">
        <v>126</v>
      </c>
      <c r="M44" s="143"/>
      <c r="N44" s="144">
        <f>N11/Gross_Total</f>
        <v>4.0865631032517523E-2</v>
      </c>
    </row>
    <row r="45" spans="2:14" x14ac:dyDescent="0.3">
      <c r="B45" s="49" t="s">
        <v>153</v>
      </c>
      <c r="C45" s="126">
        <v>24.549989599595396</v>
      </c>
      <c r="K45" s="127" t="s">
        <v>123</v>
      </c>
      <c r="L45" s="127" t="s">
        <v>130</v>
      </c>
      <c r="M45" s="143"/>
      <c r="N45" s="144">
        <f>N12/Gross_Total</f>
        <v>0</v>
      </c>
    </row>
    <row r="46" spans="2:14" x14ac:dyDescent="0.3">
      <c r="B46" s="49" t="s">
        <v>159</v>
      </c>
      <c r="C46" s="126">
        <v>47.739999999999995</v>
      </c>
      <c r="K46" s="127" t="s">
        <v>123</v>
      </c>
      <c r="L46" s="127" t="s">
        <v>133</v>
      </c>
      <c r="M46" s="143"/>
      <c r="N46" s="144">
        <f>N13/Gross_Total</f>
        <v>1.4285205930713077E-2</v>
      </c>
    </row>
    <row r="47" spans="2:14" x14ac:dyDescent="0.3">
      <c r="B47" s="49" t="s">
        <v>178</v>
      </c>
      <c r="C47" s="126">
        <v>21.236999999999998</v>
      </c>
      <c r="K47" s="127" t="s">
        <v>123</v>
      </c>
      <c r="L47" s="127" t="s">
        <v>137</v>
      </c>
      <c r="M47" s="143"/>
      <c r="N47" s="144">
        <f>N14/Gross_Total</f>
        <v>3.2355047728599797E-4</v>
      </c>
    </row>
    <row r="48" spans="2:14" ht="15" thickBot="1" x14ac:dyDescent="0.35">
      <c r="B48" s="145" t="s">
        <v>179</v>
      </c>
      <c r="C48" s="126">
        <v>-29.106999999999999</v>
      </c>
      <c r="K48" s="127" t="s">
        <v>123</v>
      </c>
      <c r="L48" s="127" t="s">
        <v>131</v>
      </c>
      <c r="M48" s="143"/>
      <c r="N48" s="144">
        <f>N15/Gross_Total</f>
        <v>2.1430528814630461E-2</v>
      </c>
    </row>
    <row r="49" spans="2:14" ht="15" thickTop="1" x14ac:dyDescent="0.3">
      <c r="B49" s="146" t="s">
        <v>180</v>
      </c>
      <c r="C49" s="147">
        <v>382.25514882975392</v>
      </c>
      <c r="K49" s="127" t="s">
        <v>134</v>
      </c>
      <c r="L49" s="127" t="s">
        <v>135</v>
      </c>
      <c r="M49" s="143">
        <f>SUM(N49:N57)</f>
        <v>3.994993447589202E-2</v>
      </c>
      <c r="N49" s="144">
        <f>N16/Gross_Total</f>
        <v>2.9772326657233274E-3</v>
      </c>
    </row>
    <row r="50" spans="2:14" ht="15" thickBot="1" x14ac:dyDescent="0.35">
      <c r="B50" s="145" t="s">
        <v>181</v>
      </c>
      <c r="C50" s="126">
        <v>353.14814882975395</v>
      </c>
      <c r="K50" s="127" t="s">
        <v>134</v>
      </c>
      <c r="L50" s="127" t="s">
        <v>142</v>
      </c>
      <c r="M50" s="143"/>
      <c r="N50" s="144">
        <f>N17/Gross_Total</f>
        <v>2.0750688877329924E-3</v>
      </c>
    </row>
    <row r="51" spans="2:14" ht="15" thickTop="1" x14ac:dyDescent="0.3">
      <c r="K51" s="127" t="s">
        <v>134</v>
      </c>
      <c r="L51" s="127" t="s">
        <v>145</v>
      </c>
      <c r="M51" s="143"/>
      <c r="N51" s="144">
        <f>N18/Gross_Total</f>
        <v>8.8574517628704219E-3</v>
      </c>
    </row>
    <row r="52" spans="2:14" x14ac:dyDescent="0.3">
      <c r="B52" s="148" t="s">
        <v>182</v>
      </c>
      <c r="K52" s="127" t="s">
        <v>134</v>
      </c>
      <c r="L52" s="127" t="s">
        <v>146</v>
      </c>
      <c r="M52" s="143"/>
      <c r="N52" s="144">
        <f>N19/Gross_Total</f>
        <v>1.4342826708763516E-2</v>
      </c>
    </row>
    <row r="53" spans="2:14" x14ac:dyDescent="0.3">
      <c r="K53" s="127" t="s">
        <v>134</v>
      </c>
      <c r="L53" s="127" t="s">
        <v>148</v>
      </c>
      <c r="M53" s="143"/>
      <c r="N53" s="144">
        <f>N20/Gross_Total</f>
        <v>2.7474774597286405E-3</v>
      </c>
    </row>
    <row r="54" spans="2:14" x14ac:dyDescent="0.3">
      <c r="K54" s="127" t="s">
        <v>134</v>
      </c>
      <c r="L54" s="127" t="s">
        <v>149</v>
      </c>
      <c r="M54" s="143"/>
      <c r="N54" s="144">
        <f>N21/Gross_Total</f>
        <v>3.1511627636674252E-3</v>
      </c>
    </row>
    <row r="55" spans="2:14" x14ac:dyDescent="0.3">
      <c r="K55" s="127" t="s">
        <v>134</v>
      </c>
      <c r="L55" s="127" t="s">
        <v>152</v>
      </c>
      <c r="M55" s="143"/>
      <c r="N55" s="144">
        <f>N22/Gross_Total</f>
        <v>2.0057508421342366E-3</v>
      </c>
    </row>
    <row r="56" spans="2:14" x14ac:dyDescent="0.3">
      <c r="K56" s="127" t="s">
        <v>134</v>
      </c>
      <c r="L56" s="127" t="s">
        <v>156</v>
      </c>
      <c r="M56" s="143"/>
      <c r="N56" s="144">
        <f>N23/Gross_Total</f>
        <v>1.4437553815849725E-3</v>
      </c>
    </row>
    <row r="57" spans="2:14" x14ac:dyDescent="0.3">
      <c r="K57" s="127" t="s">
        <v>134</v>
      </c>
      <c r="L57" s="127" t="s">
        <v>158</v>
      </c>
      <c r="M57" s="143"/>
      <c r="N57" s="144">
        <f>N24/Gross_Total</f>
        <v>2.3492080036864879E-3</v>
      </c>
    </row>
    <row r="58" spans="2:14" x14ac:dyDescent="0.3">
      <c r="K58" s="127" t="s">
        <v>138</v>
      </c>
      <c r="L58" s="127" t="s">
        <v>162</v>
      </c>
      <c r="M58" s="143">
        <f>SUM(N58:N62)</f>
        <v>0.27205049970235495</v>
      </c>
      <c r="N58" s="144">
        <f>N25/Gross_Total</f>
        <v>7.0455216794484713E-3</v>
      </c>
    </row>
    <row r="59" spans="2:14" x14ac:dyDescent="0.3">
      <c r="K59" s="127" t="s">
        <v>138</v>
      </c>
      <c r="L59" s="127" t="s">
        <v>163</v>
      </c>
      <c r="M59" s="143"/>
      <c r="N59" s="144">
        <f>N26/Gross_Total</f>
        <v>0.18149835712408569</v>
      </c>
    </row>
    <row r="60" spans="2:14" x14ac:dyDescent="0.3">
      <c r="K60" s="127" t="s">
        <v>138</v>
      </c>
      <c r="L60" s="127" t="s">
        <v>166</v>
      </c>
      <c r="M60" s="143"/>
      <c r="N60" s="144">
        <f>N27/Gross_Total</f>
        <v>4.1812718165358372E-2</v>
      </c>
    </row>
    <row r="61" spans="2:14" x14ac:dyDescent="0.3">
      <c r="K61" s="127" t="s">
        <v>138</v>
      </c>
      <c r="L61" s="127" t="s">
        <v>143</v>
      </c>
      <c r="M61" s="143"/>
      <c r="N61" s="144">
        <f>N28/Gross_Total</f>
        <v>2.5149790840043873E-2</v>
      </c>
    </row>
    <row r="62" spans="2:14" x14ac:dyDescent="0.3">
      <c r="K62" s="127" t="s">
        <v>138</v>
      </c>
      <c r="L62" s="127" t="s">
        <v>168</v>
      </c>
      <c r="M62" s="143"/>
      <c r="N62" s="144">
        <f>N29/Gross_Total</f>
        <v>1.6544111893418534E-2</v>
      </c>
    </row>
    <row r="63" spans="2:14" x14ac:dyDescent="0.3">
      <c r="K63" s="127" t="s">
        <v>147</v>
      </c>
      <c r="L63" s="127" t="s">
        <v>7</v>
      </c>
      <c r="M63" s="149">
        <f>N63+N64</f>
        <v>0.13548870488276019</v>
      </c>
      <c r="N63" s="144">
        <f>N31/Gross_Total</f>
        <v>0.13523411451242853</v>
      </c>
    </row>
    <row r="64" spans="2:14" x14ac:dyDescent="0.3">
      <c r="K64" s="127" t="s">
        <v>147</v>
      </c>
      <c r="L64" s="127" t="s">
        <v>131</v>
      </c>
      <c r="M64" s="149"/>
      <c r="N64" s="144">
        <f>N32/Gross_Total</f>
        <v>2.5459037033165219E-4</v>
      </c>
    </row>
    <row r="65" spans="11:14" x14ac:dyDescent="0.3">
      <c r="K65" s="127" t="s">
        <v>150</v>
      </c>
      <c r="L65" s="127" t="s">
        <v>150</v>
      </c>
      <c r="M65" s="150">
        <f>N65</f>
        <v>3.2596203307691071E-2</v>
      </c>
      <c r="N65" s="144">
        <f>N33/Gross_Total</f>
        <v>3.2596203307691071E-2</v>
      </c>
    </row>
    <row r="66" spans="11:14" x14ac:dyDescent="0.3">
      <c r="K66" s="127" t="s">
        <v>153</v>
      </c>
      <c r="L66" s="127" t="s">
        <v>154</v>
      </c>
      <c r="M66" s="149">
        <f>N66+N67</f>
        <v>6.4392225342525131E-2</v>
      </c>
      <c r="N66" s="144">
        <f>N34/Gross_Total</f>
        <v>5.5759196834062517E-2</v>
      </c>
    </row>
    <row r="67" spans="11:14" x14ac:dyDescent="0.3">
      <c r="K67" s="127" t="s">
        <v>153</v>
      </c>
      <c r="L67" s="127" t="s">
        <v>131</v>
      </c>
      <c r="M67" s="149"/>
      <c r="N67" s="144">
        <f>N35/Gross_Total</f>
        <v>8.6330285084626132E-3</v>
      </c>
    </row>
    <row r="68" spans="11:14" x14ac:dyDescent="0.3">
      <c r="K68" s="127" t="s">
        <v>159</v>
      </c>
      <c r="L68" s="127" t="s">
        <v>160</v>
      </c>
      <c r="M68" s="149">
        <f>N68+N69</f>
        <v>0.12489040408259379</v>
      </c>
      <c r="N68" s="144">
        <f>N36/Gross_Total</f>
        <v>9.8677545915279385E-2</v>
      </c>
    </row>
    <row r="69" spans="11:14" x14ac:dyDescent="0.3">
      <c r="K69" s="127" t="s">
        <v>159</v>
      </c>
      <c r="L69" s="127" t="s">
        <v>131</v>
      </c>
      <c r="M69" s="149"/>
      <c r="N69" s="144">
        <f>N37/Gross_Total</f>
        <v>2.6212858167314407E-2</v>
      </c>
    </row>
    <row r="70" spans="11:14" x14ac:dyDescent="0.3">
      <c r="K70" s="127" t="s">
        <v>164</v>
      </c>
      <c r="L70" s="127" t="s">
        <v>165</v>
      </c>
      <c r="M70" s="149">
        <f>N70+N71</f>
        <v>5.4675522524637837E-2</v>
      </c>
      <c r="N70" s="144">
        <f>N38/Gross_Total</f>
        <v>3.5055119704791728E-2</v>
      </c>
    </row>
    <row r="71" spans="11:14" x14ac:dyDescent="0.3">
      <c r="K71" s="127" t="s">
        <v>164</v>
      </c>
      <c r="L71" s="127" t="s">
        <v>131</v>
      </c>
      <c r="M71" s="149"/>
      <c r="N71" s="144">
        <f>N39/Gross_Total</f>
        <v>1.9620402819846113E-2</v>
      </c>
    </row>
  </sheetData>
  <mergeCells count="14">
    <mergeCell ref="M68:M69"/>
    <mergeCell ref="M70:M71"/>
    <mergeCell ref="M38:M39"/>
    <mergeCell ref="M43:M48"/>
    <mergeCell ref="M49:M57"/>
    <mergeCell ref="M58:M62"/>
    <mergeCell ref="M63:M64"/>
    <mergeCell ref="M66:M67"/>
    <mergeCell ref="M10:M15"/>
    <mergeCell ref="M16:M24"/>
    <mergeCell ref="M25:M29"/>
    <mergeCell ref="M31:M32"/>
    <mergeCell ref="M34:M35"/>
    <mergeCell ref="M36:M3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CAB00-D7BD-4471-9460-A8C878D94C39}">
  <dimension ref="A1:H36"/>
  <sheetViews>
    <sheetView workbookViewId="0">
      <pane xSplit="1" ySplit="4" topLeftCell="B14" activePane="bottomRight" state="frozen"/>
      <selection pane="topRight" activeCell="B1" sqref="B1"/>
      <selection pane="bottomLeft" activeCell="A3" sqref="A3"/>
      <selection pane="bottomRight" activeCell="B3" sqref="B3"/>
    </sheetView>
  </sheetViews>
  <sheetFormatPr defaultRowHeight="13.8" x14ac:dyDescent="0.3"/>
  <cols>
    <col min="1" max="1" width="25.88671875" style="6" bestFit="1" customWidth="1"/>
    <col min="2" max="2" width="8.5546875" style="6" bestFit="1" customWidth="1"/>
    <col min="3" max="3" width="10.5546875" style="6" bestFit="1" customWidth="1"/>
    <col min="4" max="5" width="8.5546875" style="6" bestFit="1" customWidth="1"/>
    <col min="6" max="6" width="9.6640625" style="6" bestFit="1" customWidth="1"/>
    <col min="7" max="7" width="5.5546875" style="6" bestFit="1" customWidth="1"/>
    <col min="8" max="8" width="10" style="6" bestFit="1" customWidth="1"/>
    <col min="9" max="16384" width="8.88671875" style="6"/>
  </cols>
  <sheetData>
    <row r="1" spans="1:4" x14ac:dyDescent="0.3">
      <c r="A1" s="151" t="s">
        <v>105</v>
      </c>
      <c r="B1" s="5" t="s">
        <v>29</v>
      </c>
      <c r="C1" s="5"/>
      <c r="D1" s="5"/>
    </row>
    <row r="2" spans="1:4" x14ac:dyDescent="0.3">
      <c r="A2" s="151" t="s">
        <v>75</v>
      </c>
      <c r="B2" s="5" t="s">
        <v>90</v>
      </c>
      <c r="C2" s="5"/>
      <c r="D2" s="5"/>
    </row>
    <row r="3" spans="1:4" x14ac:dyDescent="0.3">
      <c r="A3" s="5"/>
      <c r="B3" s="5"/>
      <c r="C3" s="5"/>
      <c r="D3" s="5"/>
    </row>
    <row r="4" spans="1:4" x14ac:dyDescent="0.3">
      <c r="A4" s="3"/>
      <c r="B4" s="7" t="s">
        <v>30</v>
      </c>
      <c r="C4" s="3"/>
      <c r="D4" s="3"/>
    </row>
    <row r="5" spans="1:4" x14ac:dyDescent="0.3">
      <c r="A5" s="5"/>
      <c r="B5" s="8" t="s">
        <v>31</v>
      </c>
      <c r="C5" s="9"/>
      <c r="D5" s="5"/>
    </row>
    <row r="6" spans="1:4" x14ac:dyDescent="0.3">
      <c r="A6" s="5"/>
      <c r="B6" s="8" t="s">
        <v>32</v>
      </c>
      <c r="C6" s="9"/>
      <c r="D6" s="5"/>
    </row>
    <row r="7" spans="1:4" x14ac:dyDescent="0.3">
      <c r="A7" s="5"/>
      <c r="B7" s="8"/>
      <c r="C7" s="5"/>
      <c r="D7" s="5"/>
    </row>
    <row r="8" spans="1:4" x14ac:dyDescent="0.3">
      <c r="A8" s="5"/>
      <c r="B8" s="10" t="s">
        <v>33</v>
      </c>
      <c r="C8" s="11"/>
      <c r="D8" s="5"/>
    </row>
    <row r="9" spans="1:4" x14ac:dyDescent="0.3">
      <c r="A9" s="5"/>
      <c r="B9" s="12" t="s">
        <v>34</v>
      </c>
      <c r="C9" s="13" t="s">
        <v>35</v>
      </c>
      <c r="D9" s="5"/>
    </row>
    <row r="10" spans="1:4" x14ac:dyDescent="0.3">
      <c r="A10" s="5"/>
      <c r="B10" s="8" t="s">
        <v>36</v>
      </c>
      <c r="C10" s="14" t="s">
        <v>37</v>
      </c>
      <c r="D10" s="5"/>
    </row>
    <row r="11" spans="1:4" x14ac:dyDescent="0.3">
      <c r="A11" s="5"/>
      <c r="B11" s="8" t="s">
        <v>38</v>
      </c>
      <c r="C11" s="13" t="s">
        <v>39</v>
      </c>
      <c r="D11" s="5"/>
    </row>
    <row r="12" spans="1:4" x14ac:dyDescent="0.3">
      <c r="A12" s="5"/>
      <c r="B12" s="5"/>
      <c r="C12" s="5"/>
      <c r="D12" s="5"/>
    </row>
    <row r="13" spans="1:4" x14ac:dyDescent="0.3">
      <c r="A13" s="6" t="s">
        <v>0</v>
      </c>
    </row>
    <row r="14" spans="1:4" x14ac:dyDescent="0.3">
      <c r="A14" s="15" t="s">
        <v>1</v>
      </c>
      <c r="B14" s="6" t="s">
        <v>40</v>
      </c>
    </row>
    <row r="15" spans="1:4" x14ac:dyDescent="0.3">
      <c r="A15" s="15" t="s">
        <v>2</v>
      </c>
      <c r="B15" s="6" t="s">
        <v>3</v>
      </c>
    </row>
    <row r="17" spans="1:7" x14ac:dyDescent="0.3">
      <c r="A17" s="16"/>
      <c r="B17" s="17"/>
      <c r="C17" s="17"/>
      <c r="D17" s="17"/>
      <c r="E17" s="17"/>
      <c r="F17" s="17" t="s">
        <v>4</v>
      </c>
      <c r="G17" s="17" t="s">
        <v>5</v>
      </c>
    </row>
    <row r="18" spans="1:7" x14ac:dyDescent="0.3">
      <c r="A18" s="18" t="s">
        <v>27</v>
      </c>
      <c r="B18" s="18" t="s">
        <v>6</v>
      </c>
      <c r="C18" s="18" t="s">
        <v>7</v>
      </c>
      <c r="D18" s="18" t="s">
        <v>8</v>
      </c>
      <c r="E18" s="18" t="s">
        <v>9</v>
      </c>
      <c r="F18" s="18" t="s">
        <v>10</v>
      </c>
      <c r="G18" s="18" t="s">
        <v>11</v>
      </c>
    </row>
    <row r="19" spans="1:7" x14ac:dyDescent="0.3">
      <c r="A19" s="19" t="s">
        <v>12</v>
      </c>
      <c r="B19" s="20">
        <v>712438</v>
      </c>
      <c r="C19" s="21"/>
      <c r="D19" s="21"/>
      <c r="E19" s="21"/>
      <c r="F19" s="21"/>
      <c r="G19" s="21"/>
    </row>
    <row r="20" spans="1:7" x14ac:dyDescent="0.3">
      <c r="A20" s="19" t="s">
        <v>13</v>
      </c>
      <c r="B20" s="20">
        <v>287405</v>
      </c>
      <c r="C20" s="21"/>
      <c r="D20" s="21"/>
      <c r="E20" s="21"/>
      <c r="F20" s="21"/>
      <c r="G20" s="21"/>
    </row>
    <row r="21" spans="1:7" x14ac:dyDescent="0.3">
      <c r="A21" s="19" t="s">
        <v>14</v>
      </c>
      <c r="B21" s="21"/>
      <c r="C21" s="21"/>
      <c r="D21" s="21"/>
      <c r="E21" s="21"/>
      <c r="F21" s="21"/>
      <c r="G21" s="20">
        <v>0</v>
      </c>
    </row>
    <row r="22" spans="1:7" x14ac:dyDescent="0.3">
      <c r="A22" s="19" t="s">
        <v>15</v>
      </c>
      <c r="B22" s="20">
        <v>0</v>
      </c>
      <c r="C22" s="21"/>
      <c r="D22" s="21"/>
      <c r="E22" s="21"/>
      <c r="F22" s="21"/>
      <c r="G22" s="21"/>
    </row>
    <row r="23" spans="1:7" x14ac:dyDescent="0.3">
      <c r="A23" s="19" t="s">
        <v>16</v>
      </c>
      <c r="B23" s="20">
        <v>0</v>
      </c>
      <c r="C23" s="21"/>
      <c r="D23" s="21"/>
      <c r="E23" s="21"/>
      <c r="F23" s="21"/>
      <c r="G23" s="21"/>
    </row>
    <row r="24" spans="1:7" x14ac:dyDescent="0.3">
      <c r="A24" s="19" t="s">
        <v>17</v>
      </c>
      <c r="B24" s="21"/>
      <c r="C24" s="20">
        <v>0</v>
      </c>
      <c r="D24" s="21"/>
      <c r="E24" s="21"/>
      <c r="F24" s="21"/>
      <c r="G24" s="21"/>
    </row>
    <row r="25" spans="1:7" x14ac:dyDescent="0.3">
      <c r="A25" s="19" t="s">
        <v>18</v>
      </c>
      <c r="B25" s="21"/>
      <c r="C25" s="20">
        <v>0</v>
      </c>
      <c r="D25" s="21"/>
      <c r="E25" s="21"/>
      <c r="F25" s="21"/>
      <c r="G25" s="21"/>
    </row>
    <row r="26" spans="1:7" x14ac:dyDescent="0.3">
      <c r="A26" s="19" t="s">
        <v>19</v>
      </c>
      <c r="B26" s="21"/>
      <c r="C26" s="21"/>
      <c r="D26" s="21"/>
      <c r="E26" s="21"/>
      <c r="F26" s="20">
        <v>655886</v>
      </c>
      <c r="G26" s="21"/>
    </row>
    <row r="27" spans="1:7" x14ac:dyDescent="0.3">
      <c r="A27" s="19" t="s">
        <v>20</v>
      </c>
      <c r="B27" s="21"/>
      <c r="C27" s="20">
        <v>2039678</v>
      </c>
      <c r="D27" s="21"/>
      <c r="E27" s="21"/>
      <c r="F27" s="21"/>
      <c r="G27" s="21"/>
    </row>
    <row r="28" spans="1:7" x14ac:dyDescent="0.3">
      <c r="A28" s="19" t="s">
        <v>21</v>
      </c>
      <c r="B28" s="21"/>
      <c r="C28" s="20">
        <v>3783612</v>
      </c>
      <c r="D28" s="21"/>
      <c r="E28" s="21"/>
      <c r="F28" s="21"/>
      <c r="G28" s="21"/>
    </row>
    <row r="29" spans="1:7" x14ac:dyDescent="0.3">
      <c r="A29" s="19" t="s">
        <v>22</v>
      </c>
      <c r="B29" s="20"/>
      <c r="C29" s="21"/>
      <c r="D29" s="21"/>
      <c r="E29" s="21"/>
      <c r="F29" s="21"/>
      <c r="G29" s="20">
        <v>0</v>
      </c>
    </row>
    <row r="30" spans="1:7" x14ac:dyDescent="0.3">
      <c r="A30" s="19" t="s">
        <v>23</v>
      </c>
      <c r="B30" s="21"/>
      <c r="C30" s="21"/>
      <c r="D30" s="21"/>
      <c r="E30" s="21"/>
      <c r="F30" s="21"/>
      <c r="G30" s="20">
        <v>0</v>
      </c>
    </row>
    <row r="31" spans="1:7" x14ac:dyDescent="0.3">
      <c r="A31" s="19" t="s">
        <v>24</v>
      </c>
      <c r="B31" s="21"/>
      <c r="C31" s="21"/>
      <c r="D31" s="21"/>
      <c r="E31" s="21"/>
      <c r="F31" s="21"/>
      <c r="G31" s="20">
        <v>0</v>
      </c>
    </row>
    <row r="32" spans="1:7" x14ac:dyDescent="0.3">
      <c r="A32" s="19" t="s">
        <v>25</v>
      </c>
      <c r="B32" s="21"/>
      <c r="C32" s="21"/>
      <c r="D32" s="20">
        <v>301646</v>
      </c>
      <c r="E32" s="21"/>
      <c r="F32" s="21"/>
      <c r="G32" s="21"/>
    </row>
    <row r="33" spans="1:8" x14ac:dyDescent="0.3">
      <c r="A33" s="19" t="s">
        <v>26</v>
      </c>
      <c r="B33" s="21"/>
      <c r="C33" s="21"/>
      <c r="D33" s="21"/>
      <c r="E33" s="20">
        <v>147131</v>
      </c>
      <c r="F33" s="21"/>
      <c r="G33" s="21"/>
    </row>
    <row r="34" spans="1:8" x14ac:dyDescent="0.3">
      <c r="A34" s="19" t="s">
        <v>28</v>
      </c>
      <c r="B34" s="20">
        <f>SUM(B19:B33)</f>
        <v>999843</v>
      </c>
      <c r="C34" s="20">
        <f t="shared" ref="C34:G34" si="0">SUM(C19:C33)</f>
        <v>5823290</v>
      </c>
      <c r="D34" s="20">
        <f t="shared" si="0"/>
        <v>301646</v>
      </c>
      <c r="E34" s="20">
        <f t="shared" si="0"/>
        <v>147131</v>
      </c>
      <c r="F34" s="20">
        <f t="shared" si="0"/>
        <v>655886</v>
      </c>
      <c r="G34" s="20">
        <f t="shared" si="0"/>
        <v>0</v>
      </c>
      <c r="H34" s="22">
        <f>SUM(B34:G34)</f>
        <v>7927796</v>
      </c>
    </row>
    <row r="35" spans="1:8" x14ac:dyDescent="0.3">
      <c r="A35" s="23" t="s">
        <v>41</v>
      </c>
      <c r="B35" s="24">
        <f>B34/$H34</f>
        <v>0.12611865895641108</v>
      </c>
      <c r="C35" s="24">
        <f t="shared" ref="C35:G35" si="1">C34/$H34</f>
        <v>0.73454084842748224</v>
      </c>
      <c r="D35" s="24">
        <f t="shared" si="1"/>
        <v>3.8049162718112324E-2</v>
      </c>
      <c r="E35" s="24">
        <f t="shared" si="1"/>
        <v>1.8558878154786022E-2</v>
      </c>
      <c r="F35" s="24">
        <f t="shared" si="1"/>
        <v>8.2732451743208327E-2</v>
      </c>
      <c r="G35" s="24">
        <f t="shared" si="1"/>
        <v>0</v>
      </c>
    </row>
    <row r="36" spans="1:8" x14ac:dyDescent="0.3">
      <c r="B36" s="25">
        <f>B35+C35+D35</f>
        <v>0.89870867010200561</v>
      </c>
      <c r="C36" s="6" t="s">
        <v>98</v>
      </c>
    </row>
  </sheetData>
  <hyperlinks>
    <hyperlink ref="C11" r:id="rId1" xr:uid="{AC7C4357-C8C8-4328-B535-DE4F9345A451}"/>
  </hyperlinks>
  <pageMargins left="0.7" right="0.7" top="0.75" bottom="0.75" header="0.3" footer="0.3"/>
  <pageSetup orientation="portrait" horizontalDpi="4294967293"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5E94E-6F54-466F-805F-95F2F60C91A3}">
  <dimension ref="A1:AY84"/>
  <sheetViews>
    <sheetView workbookViewId="0">
      <pane xSplit="2" ySplit="1" topLeftCell="AN2" activePane="bottomRight" state="frozen"/>
      <selection pane="topRight" activeCell="C1" sqref="C1"/>
      <selection pane="bottomLeft" activeCell="A2" sqref="A2"/>
      <selection pane="bottomRight" activeCell="AQ4" sqref="AQ4"/>
    </sheetView>
  </sheetViews>
  <sheetFormatPr defaultRowHeight="14.4" x14ac:dyDescent="0.3"/>
  <cols>
    <col min="2" max="2" width="12.33203125" bestFit="1" customWidth="1"/>
    <col min="4" max="4" width="0" hidden="1" customWidth="1"/>
    <col min="5" max="5" width="8.88671875" hidden="1" customWidth="1"/>
    <col min="6" max="6" width="8.88671875" customWidth="1"/>
    <col min="7" max="13" width="8.88671875" hidden="1" customWidth="1"/>
    <col min="14" max="14" width="8.88671875" customWidth="1"/>
    <col min="15" max="23" width="8.88671875" hidden="1" customWidth="1"/>
    <col min="24" max="24" width="8.88671875" customWidth="1"/>
    <col min="25" max="33" width="8.88671875" hidden="1" customWidth="1"/>
    <col min="35" max="35" width="17.6640625" customWidth="1"/>
    <col min="36" max="36" width="16.109375" bestFit="1" customWidth="1"/>
    <col min="37" max="38" width="10" bestFit="1" customWidth="1"/>
    <col min="39" max="40" width="16.109375" customWidth="1"/>
    <col min="41" max="41" width="18.44140625" customWidth="1"/>
    <col min="42" max="42" width="8.5546875" bestFit="1" customWidth="1"/>
    <col min="43" max="43" width="14.5546875" bestFit="1" customWidth="1"/>
    <col min="44" max="46" width="15.5546875" bestFit="1" customWidth="1"/>
    <col min="47" max="47" width="16.5546875" bestFit="1" customWidth="1"/>
    <col min="48" max="48" width="17.21875" bestFit="1" customWidth="1"/>
    <col min="49" max="49" width="9.6640625" bestFit="1" customWidth="1"/>
    <col min="50" max="50" width="9.77734375" bestFit="1" customWidth="1"/>
    <col min="51" max="51" width="14.5546875" bestFit="1" customWidth="1"/>
  </cols>
  <sheetData>
    <row r="1" spans="1:51" x14ac:dyDescent="0.3">
      <c r="A1" s="1" t="s">
        <v>82</v>
      </c>
    </row>
    <row r="3" spans="1:51" x14ac:dyDescent="0.3">
      <c r="A3" s="1" t="s">
        <v>81</v>
      </c>
      <c r="AJ3" s="1" t="s">
        <v>183</v>
      </c>
      <c r="AQ3" s="1" t="s">
        <v>184</v>
      </c>
    </row>
    <row r="4" spans="1:51" x14ac:dyDescent="0.3">
      <c r="A4" s="1" t="s">
        <v>74</v>
      </c>
      <c r="B4" s="53" t="s">
        <v>72</v>
      </c>
      <c r="C4" s="53"/>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1" t="s">
        <v>74</v>
      </c>
      <c r="AK4" t="s">
        <v>86</v>
      </c>
      <c r="AQ4" s="1" t="s">
        <v>74</v>
      </c>
      <c r="AR4" t="s">
        <v>86</v>
      </c>
    </row>
    <row r="5" spans="1:51" x14ac:dyDescent="0.3">
      <c r="A5" s="1" t="s">
        <v>80</v>
      </c>
      <c r="B5" s="51" t="s">
        <v>73</v>
      </c>
      <c r="AJ5" s="1" t="s">
        <v>75</v>
      </c>
      <c r="AK5" t="s">
        <v>90</v>
      </c>
      <c r="AQ5" s="1" t="s">
        <v>75</v>
      </c>
      <c r="AR5" t="s">
        <v>85</v>
      </c>
    </row>
    <row r="6" spans="1:51" x14ac:dyDescent="0.3">
      <c r="A6" s="1"/>
      <c r="B6" s="51" t="s">
        <v>76</v>
      </c>
    </row>
    <row r="7" spans="1:51" x14ac:dyDescent="0.3">
      <c r="A7" s="1"/>
      <c r="B7" s="51" t="s">
        <v>77</v>
      </c>
      <c r="AQ7" s="86" t="s">
        <v>84</v>
      </c>
      <c r="AR7" s="86"/>
      <c r="AS7" s="86"/>
      <c r="AT7" s="86"/>
      <c r="AU7" s="86"/>
      <c r="AV7" s="86"/>
      <c r="AW7" s="86"/>
      <c r="AX7" s="86"/>
      <c r="AY7" s="86"/>
    </row>
    <row r="8" spans="1:51" x14ac:dyDescent="0.3">
      <c r="A8" s="1"/>
      <c r="B8" s="51" t="s">
        <v>78</v>
      </c>
      <c r="AQ8" s="85" t="s">
        <v>50</v>
      </c>
      <c r="AR8" s="85"/>
      <c r="AS8" s="85"/>
      <c r="AT8" s="85" t="s">
        <v>83</v>
      </c>
      <c r="AU8" s="85"/>
      <c r="AV8" s="85"/>
      <c r="AW8" s="85" t="s">
        <v>49</v>
      </c>
      <c r="AX8" s="85"/>
      <c r="AY8" s="85"/>
    </row>
    <row r="9" spans="1:51" x14ac:dyDescent="0.3">
      <c r="A9" s="1"/>
      <c r="B9" s="51" t="s">
        <v>79</v>
      </c>
      <c r="AJ9" s="55" t="s">
        <v>88</v>
      </c>
      <c r="AK9" s="43">
        <v>2049675.63</v>
      </c>
      <c r="AL9" s="58">
        <f>AK9/AK$12</f>
        <v>0.24759999971926169</v>
      </c>
      <c r="AQ9" s="28" t="s">
        <v>46</v>
      </c>
      <c r="AR9" s="28" t="s">
        <v>47</v>
      </c>
      <c r="AS9" s="28" t="s">
        <v>56</v>
      </c>
      <c r="AT9" s="28" t="s">
        <v>46</v>
      </c>
      <c r="AU9" s="28" t="s">
        <v>47</v>
      </c>
      <c r="AV9" s="28" t="s">
        <v>56</v>
      </c>
      <c r="AW9" s="28" t="s">
        <v>46</v>
      </c>
      <c r="AX9" s="28" t="s">
        <v>47</v>
      </c>
      <c r="AY9" s="28" t="s">
        <v>56</v>
      </c>
    </row>
    <row r="10" spans="1:51" x14ac:dyDescent="0.3">
      <c r="AJ10" s="55" t="s">
        <v>48</v>
      </c>
      <c r="AK10" s="43">
        <v>3660608.1</v>
      </c>
      <c r="AL10" s="58">
        <f t="shared" ref="AL10:AL11" si="0">AK10/AK$12</f>
        <v>0.44220000046169605</v>
      </c>
      <c r="AQ10" s="54">
        <v>22668.95</v>
      </c>
      <c r="AR10" s="54">
        <v>32775.01</v>
      </c>
      <c r="AS10" s="54">
        <v>3589.66</v>
      </c>
      <c r="AT10" s="54">
        <v>6408.64</v>
      </c>
      <c r="AU10" s="54">
        <v>45135.519999999997</v>
      </c>
      <c r="AV10" s="54">
        <v>0</v>
      </c>
      <c r="AW10" s="54">
        <v>13010.8</v>
      </c>
      <c r="AX10" s="54">
        <v>41353.43</v>
      </c>
      <c r="AY10" s="54">
        <v>6722.75</v>
      </c>
    </row>
    <row r="11" spans="1:51" x14ac:dyDescent="0.3">
      <c r="AJ11" s="55" t="s">
        <v>89</v>
      </c>
      <c r="AK11" s="43">
        <v>2567889.2599999998</v>
      </c>
      <c r="AL11" s="58">
        <f t="shared" si="0"/>
        <v>0.31019999981904217</v>
      </c>
    </row>
    <row r="12" spans="1:51" x14ac:dyDescent="0.3">
      <c r="AK12" s="57">
        <f>SUM(AK9:AK11)</f>
        <v>8278172.9900000002</v>
      </c>
    </row>
    <row r="13" spans="1:51" x14ac:dyDescent="0.3">
      <c r="A13" s="87" t="s">
        <v>67</v>
      </c>
      <c r="B13" s="87"/>
      <c r="C13" s="87"/>
      <c r="D13" s="87"/>
      <c r="E13" s="87"/>
      <c r="F13" s="87"/>
      <c r="G13" s="87"/>
      <c r="H13" s="87"/>
      <c r="I13" s="87"/>
      <c r="J13" s="87"/>
      <c r="K13" s="87"/>
      <c r="L13" s="87"/>
      <c r="M13" s="87"/>
      <c r="N13" s="87"/>
      <c r="O13" s="87"/>
      <c r="P13" s="87"/>
      <c r="Q13" s="87"/>
      <c r="R13" s="87"/>
      <c r="S13" s="87"/>
      <c r="T13" s="87"/>
      <c r="U13" s="87"/>
      <c r="V13" s="87"/>
      <c r="W13" s="87"/>
      <c r="X13" s="87"/>
      <c r="Y13" s="87"/>
      <c r="Z13" s="87"/>
      <c r="AA13" s="87"/>
      <c r="AB13" s="87"/>
      <c r="AC13" s="87"/>
      <c r="AD13" s="87"/>
      <c r="AE13" s="87"/>
      <c r="AF13" s="87"/>
      <c r="AG13" s="87"/>
      <c r="AH13" s="87"/>
      <c r="AP13" t="s">
        <v>91</v>
      </c>
      <c r="AU13" s="26" t="s">
        <v>93</v>
      </c>
    </row>
    <row r="14" spans="1:51" x14ac:dyDescent="0.3">
      <c r="A14" s="47" t="s">
        <v>61</v>
      </c>
      <c r="B14" s="47" t="s">
        <v>66</v>
      </c>
      <c r="C14" s="52">
        <v>2018</v>
      </c>
      <c r="D14" s="52">
        <v>2020</v>
      </c>
      <c r="E14" s="47">
        <v>2021</v>
      </c>
      <c r="F14" s="47">
        <v>2022</v>
      </c>
      <c r="G14" s="47">
        <v>2023</v>
      </c>
      <c r="H14" s="47">
        <v>2024</v>
      </c>
      <c r="I14" s="47">
        <v>2025</v>
      </c>
      <c r="J14" s="47">
        <v>2026</v>
      </c>
      <c r="K14" s="47">
        <v>2027</v>
      </c>
      <c r="L14" s="47">
        <v>2028</v>
      </c>
      <c r="M14" s="47">
        <v>2029</v>
      </c>
      <c r="N14" s="47">
        <v>2030</v>
      </c>
      <c r="O14" s="47">
        <v>2031</v>
      </c>
      <c r="P14" s="47">
        <v>2032</v>
      </c>
      <c r="Q14" s="47">
        <v>2033</v>
      </c>
      <c r="R14" s="47">
        <v>2034</v>
      </c>
      <c r="S14" s="47">
        <v>2035</v>
      </c>
      <c r="T14" s="47">
        <v>2036</v>
      </c>
      <c r="U14" s="47">
        <v>2037</v>
      </c>
      <c r="V14" s="47">
        <v>2038</v>
      </c>
      <c r="W14" s="47">
        <v>2039</v>
      </c>
      <c r="X14" s="47">
        <v>2040</v>
      </c>
      <c r="Y14" s="47">
        <v>2041</v>
      </c>
      <c r="Z14" s="47">
        <v>2042</v>
      </c>
      <c r="AA14" s="47">
        <v>2043</v>
      </c>
      <c r="AB14" s="47">
        <v>2044</v>
      </c>
      <c r="AC14" s="47">
        <v>2045</v>
      </c>
      <c r="AD14" s="47">
        <v>2046</v>
      </c>
      <c r="AE14" s="47">
        <v>2047</v>
      </c>
      <c r="AF14" s="47">
        <v>2048</v>
      </c>
      <c r="AG14" s="47">
        <v>2049</v>
      </c>
      <c r="AH14" s="47">
        <v>2050</v>
      </c>
      <c r="AK14" s="56">
        <v>2018</v>
      </c>
      <c r="AL14" s="56">
        <v>2022</v>
      </c>
      <c r="AM14" s="56">
        <v>2030</v>
      </c>
      <c r="AN14" s="56">
        <v>2040</v>
      </c>
      <c r="AO14" s="56">
        <v>2050</v>
      </c>
      <c r="AP14" s="61" t="s">
        <v>92</v>
      </c>
      <c r="AQ14" s="62">
        <v>2022</v>
      </c>
      <c r="AR14" s="62">
        <v>2030</v>
      </c>
      <c r="AS14" s="62">
        <v>2040</v>
      </c>
      <c r="AT14" s="62">
        <v>2050</v>
      </c>
      <c r="AU14" s="26" t="s">
        <v>94</v>
      </c>
    </row>
    <row r="15" spans="1:51" x14ac:dyDescent="0.3">
      <c r="A15" s="79" t="s">
        <v>62</v>
      </c>
      <c r="B15" s="82" t="s">
        <v>46</v>
      </c>
      <c r="C15" s="50">
        <v>1.4892629999999997E-2</v>
      </c>
      <c r="D15" s="50">
        <v>3.4507239999999995E-2</v>
      </c>
      <c r="E15" s="50">
        <v>5.7803019999999997E-2</v>
      </c>
      <c r="F15" s="50">
        <v>8.3084299999999986E-2</v>
      </c>
      <c r="G15" s="50">
        <v>0.10914662999999988</v>
      </c>
      <c r="H15" s="50">
        <v>0.13578952</v>
      </c>
      <c r="I15" s="50">
        <v>0.16330088999999978</v>
      </c>
      <c r="J15" s="50">
        <v>0.19195580999999998</v>
      </c>
      <c r="K15" s="50">
        <v>0.22192802999999986</v>
      </c>
      <c r="L15" s="50">
        <v>0.25332241000000005</v>
      </c>
      <c r="M15" s="50">
        <v>0.28620156000000002</v>
      </c>
      <c r="N15" s="50">
        <v>0.32060165999999979</v>
      </c>
      <c r="O15" s="50">
        <v>0.35497904999999985</v>
      </c>
      <c r="P15" s="50">
        <v>0.38934165000000004</v>
      </c>
      <c r="Q15" s="50">
        <v>0.42368605999999992</v>
      </c>
      <c r="R15" s="50">
        <v>0.45799625999999988</v>
      </c>
      <c r="S15" s="50">
        <v>0.49223752999999998</v>
      </c>
      <c r="T15" s="50">
        <v>0.52634531999999978</v>
      </c>
      <c r="U15" s="50">
        <v>0.56020659999999989</v>
      </c>
      <c r="V15" s="50">
        <v>0.59363294999999905</v>
      </c>
      <c r="W15" s="50">
        <v>0.62632538999999987</v>
      </c>
      <c r="X15" s="50">
        <v>0.65783832999999803</v>
      </c>
      <c r="Y15" s="50">
        <v>0.68756270999999991</v>
      </c>
      <c r="Z15" s="50">
        <v>0.71477219999999997</v>
      </c>
      <c r="AA15" s="50">
        <v>0.73879285999999866</v>
      </c>
      <c r="AB15" s="50">
        <v>0.75932118000000004</v>
      </c>
      <c r="AC15" s="50">
        <v>0.77675185999999985</v>
      </c>
      <c r="AD15" s="50">
        <v>0.79213571999999877</v>
      </c>
      <c r="AE15" s="50">
        <v>0.80650033999999982</v>
      </c>
      <c r="AF15" s="50">
        <v>0.82008670999999977</v>
      </c>
      <c r="AG15" s="50">
        <v>0.83246257999999695</v>
      </c>
      <c r="AH15" s="50">
        <v>0.84321622999999879</v>
      </c>
      <c r="AJ15" s="55" t="s">
        <v>88</v>
      </c>
      <c r="AK15" s="59">
        <f>C15*Large*1000000</f>
        <v>3687.4151838190674</v>
      </c>
      <c r="AL15" s="59">
        <f>F15*Large*1000000</f>
        <v>20571.672656675051</v>
      </c>
      <c r="AM15" s="59">
        <f>N15*Large*1000000</f>
        <v>79380.97092599477</v>
      </c>
      <c r="AN15" s="59">
        <f>X15*Large*1000000</f>
        <v>162880.7703233191</v>
      </c>
      <c r="AO15" s="59">
        <f>AH15*Large*1000000</f>
        <v>208780.3383112766</v>
      </c>
      <c r="AP15" s="54">
        <v>22668.95</v>
      </c>
      <c r="AQ15" s="54">
        <f>(AL15-AK15)*$AP15</f>
        <v>382748388.43929869</v>
      </c>
      <c r="AR15" s="54">
        <f t="shared" ref="AR15:AT15" si="1">(AM15-AL15)*$AP15</f>
        <v>1333145042.0022953</v>
      </c>
      <c r="AS15" s="54">
        <f t="shared" si="1"/>
        <v>1892852777.5479753</v>
      </c>
      <c r="AT15" s="54">
        <f t="shared" si="1"/>
        <v>1040495011.7406093</v>
      </c>
      <c r="AV15" s="64" t="s">
        <v>88</v>
      </c>
    </row>
    <row r="16" spans="1:51" x14ac:dyDescent="0.3">
      <c r="A16" s="80"/>
      <c r="B16" s="83"/>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J16" s="55" t="s">
        <v>48</v>
      </c>
      <c r="AK16" s="59">
        <f>C15*Single*1000000</f>
        <v>6585.5209928758677</v>
      </c>
      <c r="AL16" s="59">
        <f>F15*Single*1000000</f>
        <v>36739.877498359681</v>
      </c>
      <c r="AM16" s="59">
        <f>N15*Single*1000000</f>
        <v>141770.05420002042</v>
      </c>
      <c r="AN16" s="59">
        <f>X15*Single*1000000</f>
        <v>290896.10982972046</v>
      </c>
      <c r="AO16" s="59">
        <f>AH15*Single*1000000</f>
        <v>372870.21729530906</v>
      </c>
      <c r="AP16" s="54">
        <v>6408.64</v>
      </c>
      <c r="AQ16" s="54">
        <f>(AL16-AK16)*$AP16</f>
        <v>193248415.27530381</v>
      </c>
      <c r="AR16" s="54">
        <f t="shared" ref="AR16:AT20" si="2">(AM16-AL16)*$AP16</f>
        <v>673100591.61733103</v>
      </c>
      <c r="AS16" s="54">
        <f t="shared" si="2"/>
        <v>955695205.15072095</v>
      </c>
      <c r="AT16" s="54">
        <f t="shared" si="2"/>
        <v>525342544.06826979</v>
      </c>
      <c r="AV16" s="64" t="s">
        <v>48</v>
      </c>
    </row>
    <row r="17" spans="1:48" x14ac:dyDescent="0.3">
      <c r="A17" s="80"/>
      <c r="B17" s="84"/>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J17" s="55" t="s">
        <v>89</v>
      </c>
      <c r="AK17" s="59">
        <f>C15*Small*1000000</f>
        <v>4619.6938233050605</v>
      </c>
      <c r="AL17" s="59">
        <f>F15*Small*1000000</f>
        <v>25772.749844965241</v>
      </c>
      <c r="AM17" s="59">
        <f>N15*Small*1000000</f>
        <v>99450.634873984542</v>
      </c>
      <c r="AN17" s="59">
        <f>X15*Small*1000000</f>
        <v>204061.44984695839</v>
      </c>
      <c r="AO17" s="59">
        <f>AH15*Small*1000000</f>
        <v>261565.67439341306</v>
      </c>
      <c r="AP17" s="54">
        <v>13010.8</v>
      </c>
      <c r="AQ17" s="54">
        <f>(AL17-AK17)*$AP17</f>
        <v>275218181.28661627</v>
      </c>
      <c r="AR17" s="54">
        <f t="shared" si="2"/>
        <v>958608226.53556418</v>
      </c>
      <c r="AS17" s="54">
        <f t="shared" si="2"/>
        <v>1361070391.4503682</v>
      </c>
      <c r="AT17" s="54">
        <f t="shared" si="2"/>
        <v>748175964.72901237</v>
      </c>
      <c r="AV17" s="64" t="s">
        <v>89</v>
      </c>
    </row>
    <row r="18" spans="1:48" x14ac:dyDescent="0.3">
      <c r="A18" s="80"/>
      <c r="B18" s="79" t="s">
        <v>47</v>
      </c>
      <c r="C18" s="50">
        <v>1.489263E-2</v>
      </c>
      <c r="D18" s="50">
        <v>3.2872679999999987E-2</v>
      </c>
      <c r="E18" s="50">
        <v>5.258450999999998E-2</v>
      </c>
      <c r="F18" s="50">
        <v>7.244836999999997E-2</v>
      </c>
      <c r="G18" s="50">
        <v>9.1560759999999991E-2</v>
      </c>
      <c r="H18" s="50">
        <v>0.10987772999999998</v>
      </c>
      <c r="I18" s="50">
        <v>0.12767920999999999</v>
      </c>
      <c r="J18" s="50">
        <v>0.14519053000000001</v>
      </c>
      <c r="K18" s="50">
        <v>0.16254285999999987</v>
      </c>
      <c r="L18" s="50">
        <v>0.17980976999999998</v>
      </c>
      <c r="M18" s="50">
        <v>0.19703212000000001</v>
      </c>
      <c r="N18" s="50">
        <v>0.21423196999999997</v>
      </c>
      <c r="O18" s="50">
        <v>0.23142002999999997</v>
      </c>
      <c r="P18" s="50">
        <v>0.24859971000000003</v>
      </c>
      <c r="Q18" s="50">
        <v>0.26576791999999999</v>
      </c>
      <c r="R18" s="50">
        <v>0.28291376999999979</v>
      </c>
      <c r="S18" s="50">
        <v>0.30001423999999971</v>
      </c>
      <c r="T18" s="50">
        <v>0.31702612000000002</v>
      </c>
      <c r="U18" s="50">
        <v>0.33387299999999986</v>
      </c>
      <c r="V18" s="50">
        <v>0.35042590999999995</v>
      </c>
      <c r="W18" s="50">
        <v>0.366477</v>
      </c>
      <c r="X18" s="50">
        <v>0.38171012999999981</v>
      </c>
      <c r="Y18" s="50">
        <v>0.39567990999999986</v>
      </c>
      <c r="Z18" s="50">
        <v>0.40782773999999999</v>
      </c>
      <c r="AA18" s="50">
        <v>0.41757716000000006</v>
      </c>
      <c r="AB18" s="50">
        <v>0.42454335999999981</v>
      </c>
      <c r="AC18" s="50">
        <v>0.42880247999999999</v>
      </c>
      <c r="AD18" s="50">
        <v>0.43100719999999981</v>
      </c>
      <c r="AE18" s="50">
        <v>0.43211001999999998</v>
      </c>
      <c r="AF18" s="50">
        <v>0.43284791999999983</v>
      </c>
      <c r="AG18" s="50">
        <v>0.43352490999999976</v>
      </c>
      <c r="AH18" s="50">
        <v>0.43420007999999988</v>
      </c>
      <c r="AJ18" s="55" t="s">
        <v>88</v>
      </c>
      <c r="AK18" s="59">
        <f>C18*Large*1000000</f>
        <v>3687.4151838190683</v>
      </c>
      <c r="AL18" s="59">
        <f>F18*Large*1000000</f>
        <v>17938.216391660961</v>
      </c>
      <c r="AM18" s="59">
        <f>N18*Large*1000000</f>
        <v>53043.835711856867</v>
      </c>
      <c r="AN18" s="59">
        <f>X18*Large*1000000</f>
        <v>94511.428080839309</v>
      </c>
      <c r="AO18" s="59">
        <f>AH18*Large*1000000</f>
        <v>107507.93968610337</v>
      </c>
      <c r="AP18" s="54">
        <v>32775.01</v>
      </c>
      <c r="AQ18" s="54">
        <f>(AL18-AK18)*$AP18</f>
        <v>467070152.09503013</v>
      </c>
      <c r="AR18" s="54">
        <f t="shared" si="2"/>
        <v>1150587024.2756143</v>
      </c>
      <c r="AS18" s="54">
        <f t="shared" si="2"/>
        <v>1359100754.5693233</v>
      </c>
      <c r="AT18" s="54">
        <f t="shared" si="2"/>
        <v>425960797.82764584</v>
      </c>
      <c r="AV18" s="64" t="s">
        <v>88</v>
      </c>
    </row>
    <row r="19" spans="1:48" x14ac:dyDescent="0.3">
      <c r="A19" s="80"/>
      <c r="B19" s="80"/>
      <c r="C19" s="50"/>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J19" s="55" t="s">
        <v>48</v>
      </c>
      <c r="AK19" s="59">
        <f>C18*Single*1000000</f>
        <v>6585.5209928758686</v>
      </c>
      <c r="AL19" s="59">
        <f>F18*Single*1000000</f>
        <v>32036.669247449114</v>
      </c>
      <c r="AM19" s="59">
        <f>N18*Single*1000000</f>
        <v>94733.377232910047</v>
      </c>
      <c r="AN19" s="59">
        <f>X18*Single*1000000</f>
        <v>168792.21966223398</v>
      </c>
      <c r="AO19" s="59">
        <f>AH18*Single*1000000</f>
        <v>192003.27557646841</v>
      </c>
      <c r="AP19" s="54">
        <v>45135.519999999997</v>
      </c>
      <c r="AQ19" s="54">
        <f>(AL19-AK19)*$AP19</f>
        <v>1148750811.0672557</v>
      </c>
      <c r="AR19" s="54">
        <f t="shared" si="2"/>
        <v>2829848517.2119312</v>
      </c>
      <c r="AS19" s="54">
        <f t="shared" si="2"/>
        <v>3342684363.6455989</v>
      </c>
      <c r="AT19" s="54">
        <f t="shared" si="2"/>
        <v>1047643078.4380462</v>
      </c>
      <c r="AV19" s="64" t="s">
        <v>48</v>
      </c>
    </row>
    <row r="20" spans="1:48" x14ac:dyDescent="0.3">
      <c r="A20" s="80"/>
      <c r="B20" s="81"/>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J20" s="55" t="s">
        <v>89</v>
      </c>
      <c r="AK20" s="59">
        <f>C18*Small*1000000</f>
        <v>4619.6938233050623</v>
      </c>
      <c r="AL20" s="59">
        <f>F18*Small*1000000</f>
        <v>22473.484360889892</v>
      </c>
      <c r="AM20" s="59">
        <f>N18*Small*1000000</f>
        <v>66454.757055233044</v>
      </c>
      <c r="AN20" s="59">
        <f>X18*Small*1000000</f>
        <v>118406.48225692649</v>
      </c>
      <c r="AO20" s="59">
        <f>AH18*Small*1000000</f>
        <v>134688.86473742806</v>
      </c>
      <c r="AP20" s="34">
        <v>6722.75</v>
      </c>
      <c r="AQ20" s="54">
        <v>41353.43</v>
      </c>
      <c r="AR20" s="54">
        <f t="shared" si="2"/>
        <v>295675101.00589538</v>
      </c>
      <c r="AS20" s="54">
        <f t="shared" si="2"/>
        <v>349258460.59968466</v>
      </c>
      <c r="AT20" s="54">
        <f t="shared" si="2"/>
        <v>109462386.82079187</v>
      </c>
      <c r="AV20" s="64" t="s">
        <v>89</v>
      </c>
    </row>
    <row r="21" spans="1:48" x14ac:dyDescent="0.3">
      <c r="A21" s="80"/>
      <c r="B21" s="79" t="s">
        <v>56</v>
      </c>
      <c r="C21" s="50">
        <v>7.912609830000001</v>
      </c>
      <c r="D21" s="50">
        <v>8.2346160600000005</v>
      </c>
      <c r="E21" s="50">
        <v>8.2035948899999998</v>
      </c>
      <c r="F21" s="50">
        <v>8.1704862399999989</v>
      </c>
      <c r="G21" s="50">
        <v>8.1373983899999995</v>
      </c>
      <c r="H21" s="50">
        <v>8.1045757699999967</v>
      </c>
      <c r="I21" s="50">
        <v>8.0714507100000006</v>
      </c>
      <c r="J21" s="50">
        <v>8.0375230099999868</v>
      </c>
      <c r="K21" s="50">
        <v>8.0024878799999879</v>
      </c>
      <c r="L21" s="50">
        <v>7.9661669699999873</v>
      </c>
      <c r="M21" s="50">
        <v>7.9284570399999881</v>
      </c>
      <c r="N21" s="50">
        <v>7.8893000199999976</v>
      </c>
      <c r="O21" s="50">
        <v>7.8502289199999984</v>
      </c>
      <c r="P21" s="50">
        <v>7.8112326299999992</v>
      </c>
      <c r="Q21" s="50">
        <v>7.7723177099999994</v>
      </c>
      <c r="R21" s="50">
        <v>7.7335113099999999</v>
      </c>
      <c r="S21" s="50">
        <v>7.6948712699999993</v>
      </c>
      <c r="T21" s="50">
        <v>7.6565055500000003</v>
      </c>
      <c r="U21" s="50">
        <v>7.6186036699999971</v>
      </c>
      <c r="V21" s="50">
        <v>7.5814832499999989</v>
      </c>
      <c r="W21" s="50">
        <v>7.5456511899999992</v>
      </c>
      <c r="X21" s="50">
        <v>7.5118694899999996</v>
      </c>
      <c r="Y21" s="50">
        <v>7.4811926399999891</v>
      </c>
      <c r="Z21" s="50">
        <v>7.4549057899999989</v>
      </c>
      <c r="AA21" s="50">
        <v>7.4342594599999989</v>
      </c>
      <c r="AB21" s="50">
        <v>7.4199421899999995</v>
      </c>
      <c r="AC21" s="50">
        <v>7.4114832399999973</v>
      </c>
      <c r="AD21" s="50">
        <v>7.4071792400000005</v>
      </c>
      <c r="AE21" s="50">
        <v>7.405050329999999</v>
      </c>
      <c r="AF21" s="50">
        <v>7.4041186899999882</v>
      </c>
      <c r="AG21" s="50">
        <v>7.4045127199999996</v>
      </c>
      <c r="AH21" s="50">
        <v>7.4065851599999979</v>
      </c>
      <c r="AJ21" s="55" t="s">
        <v>88</v>
      </c>
      <c r="AK21" s="59">
        <f>C21*Large*1000000</f>
        <v>1959162.1916866275</v>
      </c>
      <c r="AL21" s="59">
        <f>F21*Large*1000000</f>
        <v>2023012.3907302313</v>
      </c>
      <c r="AM21" s="59">
        <f>N21*Large*1000000</f>
        <v>1953390.6827371707</v>
      </c>
      <c r="AN21" s="59">
        <f>X21*Large*1000000</f>
        <v>1859938.8836151303</v>
      </c>
      <c r="AO21" s="59">
        <f>AH21*Large*1000000</f>
        <v>1833870.4835366872</v>
      </c>
      <c r="AP21" s="54">
        <v>3589.66</v>
      </c>
      <c r="AQ21" s="54">
        <f>IF(AL21-AK21&gt;0,(AL21-AK21)*$AP21,0)</f>
        <v>229200505.49886298</v>
      </c>
      <c r="AR21" s="54">
        <f t="shared" ref="AR21:AT23" si="3">IF(AM21-AL21&gt;0,(AM21-AL21)*$AP21,0)</f>
        <v>0</v>
      </c>
      <c r="AS21" s="54">
        <f t="shared" si="3"/>
        <v>0</v>
      </c>
      <c r="AT21" s="54">
        <f t="shared" si="3"/>
        <v>0</v>
      </c>
      <c r="AV21" s="64" t="s">
        <v>88</v>
      </c>
    </row>
    <row r="22" spans="1:48" x14ac:dyDescent="0.3">
      <c r="A22" s="80"/>
      <c r="B22" s="80"/>
      <c r="C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J22" s="55" t="s">
        <v>48</v>
      </c>
      <c r="AK22" s="59">
        <f>C21*Single*1000000</f>
        <v>3498956.0704792212</v>
      </c>
      <c r="AL22" s="59">
        <f>F21*Single*1000000</f>
        <v>3612989.0191002805</v>
      </c>
      <c r="AM22" s="59">
        <f>N21*Single*1000000</f>
        <v>3488648.4724864573</v>
      </c>
      <c r="AN22" s="59">
        <f>X21*Single*1000000</f>
        <v>3321748.6919462001</v>
      </c>
      <c r="AO22" s="59">
        <f>AH21*Single*1000000</f>
        <v>3275191.9611715903</v>
      </c>
      <c r="AP22" s="54">
        <v>0</v>
      </c>
      <c r="AQ22" s="54">
        <f t="shared" ref="AQ22:AQ23" si="4">IF(AL22-AK22&gt;0,(AL22-AK22)*$AP22,0)</f>
        <v>0</v>
      </c>
      <c r="AR22" s="54">
        <f t="shared" si="3"/>
        <v>0</v>
      </c>
      <c r="AS22" s="54">
        <f t="shared" si="3"/>
        <v>0</v>
      </c>
      <c r="AT22" s="54">
        <f t="shared" si="3"/>
        <v>0</v>
      </c>
      <c r="AV22" s="64" t="s">
        <v>48</v>
      </c>
    </row>
    <row r="23" spans="1:48" x14ac:dyDescent="0.3">
      <c r="A23" s="80"/>
      <c r="B23" s="81"/>
      <c r="C23" s="50"/>
      <c r="D23" s="50"/>
      <c r="E23" s="50"/>
      <c r="F23" s="50"/>
      <c r="G23" s="50"/>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J23" s="55" t="s">
        <v>89</v>
      </c>
      <c r="AK23" s="59">
        <f>C21*Small*1000000</f>
        <v>2454491.5678341519</v>
      </c>
      <c r="AL23" s="59">
        <f>F21*Small*1000000</f>
        <v>2534484.8301694859</v>
      </c>
      <c r="AM23" s="59">
        <f>N21*Small*1000000</f>
        <v>2447260.8647763687</v>
      </c>
      <c r="AN23" s="59">
        <f>X21*Small*1000000</f>
        <v>2330181.9144386682</v>
      </c>
      <c r="AO23" s="59">
        <f>AH21*Small*1000000</f>
        <v>2297522.7152917199</v>
      </c>
      <c r="AP23" s="54">
        <v>6722.75</v>
      </c>
      <c r="AQ23" s="54">
        <f t="shared" si="4"/>
        <v>537774704.3648665</v>
      </c>
      <c r="AR23" s="54">
        <f t="shared" si="3"/>
        <v>0</v>
      </c>
      <c r="AS23" s="54">
        <f t="shared" si="3"/>
        <v>0</v>
      </c>
      <c r="AT23" s="54">
        <f t="shared" si="3"/>
        <v>0</v>
      </c>
      <c r="AV23" s="64" t="s">
        <v>89</v>
      </c>
    </row>
    <row r="24" spans="1:48" x14ac:dyDescent="0.3">
      <c r="A24" s="81"/>
      <c r="B24" s="49" t="s">
        <v>28</v>
      </c>
      <c r="C24" s="50">
        <v>7.9423950900000007</v>
      </c>
      <c r="D24" s="50">
        <v>8.3019959800000009</v>
      </c>
      <c r="E24" s="50">
        <v>8.3139824200000003</v>
      </c>
      <c r="F24" s="50">
        <v>8.3260189099999984</v>
      </c>
      <c r="G24" s="50">
        <v>8.3381057799999994</v>
      </c>
      <c r="H24" s="50">
        <v>8.3502430199999971</v>
      </c>
      <c r="I24" s="50">
        <v>8.3624308100000011</v>
      </c>
      <c r="J24" s="50">
        <v>8.3746693499999871</v>
      </c>
      <c r="K24" s="50">
        <v>8.3869587699999872</v>
      </c>
      <c r="L24" s="50">
        <v>8.3992991499999867</v>
      </c>
      <c r="M24" s="50">
        <v>8.4116907199999886</v>
      </c>
      <c r="N24" s="50">
        <v>8.4241336499999981</v>
      </c>
      <c r="O24" s="50">
        <v>8.4366279999999989</v>
      </c>
      <c r="P24" s="50">
        <v>8.4491739899999985</v>
      </c>
      <c r="Q24" s="50">
        <v>8.4617716899999991</v>
      </c>
      <c r="R24" s="50">
        <v>8.4744213399999992</v>
      </c>
      <c r="S24" s="50">
        <v>8.4871230399999984</v>
      </c>
      <c r="T24" s="50">
        <v>8.4998769900000006</v>
      </c>
      <c r="U24" s="50">
        <v>8.5126832699999966</v>
      </c>
      <c r="V24" s="50">
        <v>8.5255421099999982</v>
      </c>
      <c r="W24" s="50">
        <v>8.5384535799999988</v>
      </c>
      <c r="X24" s="50">
        <v>8.5514179499999976</v>
      </c>
      <c r="Y24" s="50">
        <v>8.5644352599999891</v>
      </c>
      <c r="Z24" s="50">
        <v>8.5775057299999986</v>
      </c>
      <c r="AA24" s="50">
        <v>8.5906294799999969</v>
      </c>
      <c r="AB24" s="50">
        <v>8.6038067299999987</v>
      </c>
      <c r="AC24" s="50">
        <v>8.6170375799999981</v>
      </c>
      <c r="AD24" s="50">
        <v>8.6303221599999986</v>
      </c>
      <c r="AE24" s="50">
        <v>8.643660689999999</v>
      </c>
      <c r="AF24" s="50">
        <v>8.6570533199999886</v>
      </c>
      <c r="AG24" s="50">
        <v>8.6705002099999966</v>
      </c>
      <c r="AH24" s="50">
        <v>8.6840014699999966</v>
      </c>
      <c r="AJ24" s="55" t="s">
        <v>28</v>
      </c>
      <c r="AK24" s="60">
        <f>SUM(AK15:AK23)</f>
        <v>7942395.0900000008</v>
      </c>
      <c r="AL24" s="60">
        <f>SUM(AL15:AL23)</f>
        <v>8326018.9099999974</v>
      </c>
      <c r="AM24" s="60">
        <f>SUM(AM15:AM23)</f>
        <v>8424133.6499999966</v>
      </c>
      <c r="AN24" s="60">
        <f>SUM(AN15:AN23)</f>
        <v>8551417.9499999974</v>
      </c>
      <c r="AO24" s="60">
        <f>SUM(AO15:AO23)</f>
        <v>8684001.4699999951</v>
      </c>
      <c r="AP24" s="60"/>
      <c r="AQ24" s="33">
        <f>SUM(AQ15:AQ23)</f>
        <v>3234052511.4572334</v>
      </c>
      <c r="AR24" s="33">
        <f t="shared" ref="AR24:AT24" si="5">SUM(AR15:AR23)</f>
        <v>7240964502.648632</v>
      </c>
      <c r="AS24" s="33">
        <f t="shared" si="5"/>
        <v>9260661952.9636707</v>
      </c>
      <c r="AT24" s="33">
        <f t="shared" si="5"/>
        <v>3897079783.6243749</v>
      </c>
      <c r="AU24" s="33">
        <f>SUM(AR24:AT24)</f>
        <v>20398706239.236679</v>
      </c>
    </row>
    <row r="26" spans="1:48" x14ac:dyDescent="0.3">
      <c r="A26" s="87" t="s">
        <v>68</v>
      </c>
      <c r="B26" s="87"/>
      <c r="C26" s="87"/>
      <c r="D26" s="87"/>
      <c r="E26" s="87"/>
      <c r="F26" s="87"/>
      <c r="G26" s="87"/>
      <c r="H26" s="87"/>
      <c r="I26" s="87"/>
      <c r="J26" s="87"/>
      <c r="K26" s="87"/>
      <c r="L26" s="87"/>
      <c r="M26" s="87"/>
      <c r="N26" s="87"/>
      <c r="O26" s="87"/>
      <c r="P26" s="87"/>
      <c r="Q26" s="87"/>
      <c r="R26" s="87"/>
      <c r="S26" s="87"/>
      <c r="T26" s="87"/>
      <c r="U26" s="87"/>
      <c r="V26" s="87"/>
      <c r="W26" s="87"/>
      <c r="X26" s="87"/>
      <c r="Y26" s="87"/>
      <c r="Z26" s="87"/>
      <c r="AA26" s="87"/>
      <c r="AB26" s="87"/>
      <c r="AC26" s="87"/>
      <c r="AD26" s="87"/>
      <c r="AE26" s="87"/>
      <c r="AF26" s="87"/>
      <c r="AG26" s="87"/>
      <c r="AH26" s="87"/>
    </row>
    <row r="27" spans="1:48" x14ac:dyDescent="0.3">
      <c r="A27" s="47" t="s">
        <v>61</v>
      </c>
      <c r="B27" s="47" t="s">
        <v>66</v>
      </c>
      <c r="C27" s="48">
        <v>2019</v>
      </c>
      <c r="D27" s="47">
        <v>2020</v>
      </c>
      <c r="E27" s="47">
        <v>2021</v>
      </c>
      <c r="F27" s="47">
        <v>2022</v>
      </c>
      <c r="G27" s="47">
        <v>2023</v>
      </c>
      <c r="H27" s="47">
        <v>2024</v>
      </c>
      <c r="I27" s="47">
        <v>2025</v>
      </c>
      <c r="J27" s="47">
        <v>2026</v>
      </c>
      <c r="K27" s="47">
        <v>2027</v>
      </c>
      <c r="L27" s="47">
        <v>2028</v>
      </c>
      <c r="M27" s="47">
        <v>2029</v>
      </c>
      <c r="N27" s="47">
        <v>2030</v>
      </c>
      <c r="O27" s="47">
        <v>2031</v>
      </c>
      <c r="P27" s="47">
        <v>2032</v>
      </c>
      <c r="Q27" s="47">
        <v>2033</v>
      </c>
      <c r="R27" s="47">
        <v>2034</v>
      </c>
      <c r="S27" s="47">
        <v>2035</v>
      </c>
      <c r="T27" s="47">
        <v>2036</v>
      </c>
      <c r="U27" s="47">
        <v>2037</v>
      </c>
      <c r="V27" s="47">
        <v>2038</v>
      </c>
      <c r="W27" s="47">
        <v>2039</v>
      </c>
      <c r="X27" s="47">
        <v>2040</v>
      </c>
      <c r="Y27" s="47">
        <v>2041</v>
      </c>
      <c r="Z27" s="47">
        <v>2042</v>
      </c>
      <c r="AA27" s="47">
        <v>2043</v>
      </c>
      <c r="AB27" s="47">
        <v>2044</v>
      </c>
      <c r="AC27" s="47">
        <v>2045</v>
      </c>
      <c r="AD27" s="47">
        <v>2046</v>
      </c>
      <c r="AE27" s="47">
        <v>2047</v>
      </c>
      <c r="AF27" s="47">
        <v>2048</v>
      </c>
      <c r="AG27" s="47">
        <v>2049</v>
      </c>
      <c r="AH27" s="47">
        <v>2050</v>
      </c>
      <c r="AK27" s="56">
        <v>2018</v>
      </c>
      <c r="AL27" s="56">
        <v>2020</v>
      </c>
      <c r="AM27" s="56">
        <v>2030</v>
      </c>
      <c r="AN27" s="56">
        <v>2040</v>
      </c>
      <c r="AO27" s="56">
        <v>2050</v>
      </c>
      <c r="AP27" s="61" t="s">
        <v>92</v>
      </c>
      <c r="AQ27" s="62">
        <v>2022</v>
      </c>
      <c r="AR27" s="62">
        <v>2030</v>
      </c>
      <c r="AS27" s="62">
        <v>2040</v>
      </c>
      <c r="AT27" s="62">
        <v>2050</v>
      </c>
    </row>
    <row r="28" spans="1:48" x14ac:dyDescent="0.3">
      <c r="A28" s="79" t="s">
        <v>63</v>
      </c>
      <c r="B28" s="79" t="s">
        <v>46</v>
      </c>
      <c r="C28" s="50">
        <v>1.4892659999999985E-2</v>
      </c>
      <c r="D28" s="50">
        <v>3.5242469999999984E-2</v>
      </c>
      <c r="E28" s="50">
        <v>6.1772590000000002E-2</v>
      </c>
      <c r="F28" s="50">
        <v>9.276021999999999E-2</v>
      </c>
      <c r="G28" s="50">
        <v>0.13289621000000001</v>
      </c>
      <c r="H28" s="50">
        <v>0.18125302999999987</v>
      </c>
      <c r="I28" s="50">
        <v>0.23786172999999977</v>
      </c>
      <c r="J28" s="50">
        <v>0.31421117999999998</v>
      </c>
      <c r="K28" s="50">
        <v>0.41034311999999978</v>
      </c>
      <c r="L28" s="50">
        <v>0.53121166999999969</v>
      </c>
      <c r="M28" s="50">
        <v>0.67691382999999905</v>
      </c>
      <c r="N28" s="50">
        <v>0.8451320299999997</v>
      </c>
      <c r="O28" s="50">
        <v>1.0311196299999998</v>
      </c>
      <c r="P28" s="50">
        <v>1.2297527599999989</v>
      </c>
      <c r="Q28" s="50">
        <v>1.4372386599999987</v>
      </c>
      <c r="R28" s="50">
        <v>1.6524749399999985</v>
      </c>
      <c r="S28" s="50">
        <v>1.8753008299999989</v>
      </c>
      <c r="T28" s="50">
        <v>2.0975441099999999</v>
      </c>
      <c r="U28" s="50">
        <v>2.318736739999999</v>
      </c>
      <c r="V28" s="50">
        <v>2.538127239999997</v>
      </c>
      <c r="W28" s="50">
        <v>2.7545796100000004</v>
      </c>
      <c r="X28" s="50">
        <v>2.9665123199999979</v>
      </c>
      <c r="Y28" s="50">
        <v>3.1719976999999977</v>
      </c>
      <c r="Z28" s="50">
        <v>3.3692358699999985</v>
      </c>
      <c r="AA28" s="50">
        <v>3.5576383399999991</v>
      </c>
      <c r="AB28" s="50">
        <v>3.7394067399999993</v>
      </c>
      <c r="AC28" s="50">
        <v>3.9204318399999978</v>
      </c>
      <c r="AD28" s="50">
        <v>4.1081997299999955</v>
      </c>
      <c r="AE28" s="50">
        <v>4.3060522999999993</v>
      </c>
      <c r="AF28" s="50">
        <v>4.508961069999998</v>
      </c>
      <c r="AG28" s="50">
        <v>4.7069498999999997</v>
      </c>
      <c r="AH28" s="50">
        <v>4.8917457300000002</v>
      </c>
      <c r="AJ28" s="55" t="s">
        <v>88</v>
      </c>
      <c r="AK28" s="59">
        <f>C28*Large*1000000</f>
        <v>3687.4226118190559</v>
      </c>
      <c r="AL28" s="59">
        <f>F28*Large*1000000</f>
        <v>22967.430445958649</v>
      </c>
      <c r="AM28" s="59">
        <f>N28*Large*1000000</f>
        <v>209254.69039073898</v>
      </c>
      <c r="AN28" s="59">
        <f>X28*Large*1000000</f>
        <v>734508.44959918584</v>
      </c>
      <c r="AO28" s="59">
        <f>AH28*Large*1000000</f>
        <v>1211196.2413746996</v>
      </c>
      <c r="AP28" s="54">
        <v>22668.95</v>
      </c>
      <c r="AQ28" s="54">
        <f>(AL28-AK28)*$AP28</f>
        <v>437057533.59171873</v>
      </c>
      <c r="AR28" s="54">
        <f t="shared" ref="AR28:AR33" si="6">(AM28-AL28)*$AP28</f>
        <v>4222936581.3252282</v>
      </c>
      <c r="AS28" s="54">
        <f t="shared" ref="AS28:AS33" si="7">(AN28-AM28)*$AP28</f>
        <v>11906951204.808321</v>
      </c>
      <c r="AT28" s="54">
        <f t="shared" ref="AT28:AT33" si="8">(AO28-AN28)*$AP28</f>
        <v>10806011717.369534</v>
      </c>
      <c r="AV28" s="64" t="s">
        <v>88</v>
      </c>
    </row>
    <row r="29" spans="1:48" x14ac:dyDescent="0.3">
      <c r="A29" s="80"/>
      <c r="B29" s="80"/>
      <c r="C29" s="50"/>
      <c r="D29" s="50"/>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J29" s="55" t="s">
        <v>48</v>
      </c>
      <c r="AK29" s="59">
        <f>C28*Single*1000000</f>
        <v>6585.5342588758749</v>
      </c>
      <c r="AL29" s="59">
        <f>F28*Single*1000000</f>
        <v>41018.569326827019</v>
      </c>
      <c r="AM29" s="59">
        <f>N28*Single*1000000</f>
        <v>373717.38405619399</v>
      </c>
      <c r="AN29" s="59">
        <f>X28*Single*1000000</f>
        <v>1311791.7492736261</v>
      </c>
      <c r="AO29" s="59">
        <f>AH28*Single*1000000</f>
        <v>2163129.9640644998</v>
      </c>
      <c r="AP29" s="54">
        <v>6408.64</v>
      </c>
      <c r="AQ29" s="54">
        <f t="shared" ref="AQ29:AQ32" si="9">(AL29-AK29)*$AP29</f>
        <v>220668925.85787445</v>
      </c>
      <c r="AR29" s="54">
        <f t="shared" si="6"/>
        <v>2132146932.0272105</v>
      </c>
      <c r="AS29" s="54">
        <f t="shared" si="7"/>
        <v>6011780899.9070444</v>
      </c>
      <c r="AT29" s="54">
        <f t="shared" si="8"/>
        <v>5455920136.8373852</v>
      </c>
      <c r="AV29" s="64" t="s">
        <v>48</v>
      </c>
    </row>
    <row r="30" spans="1:48" x14ac:dyDescent="0.3">
      <c r="A30" s="80"/>
      <c r="B30" s="81"/>
      <c r="C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J30" s="55" t="s">
        <v>89</v>
      </c>
      <c r="AK30" s="59">
        <f>C28*Small*1000000</f>
        <v>4619.7031293050522</v>
      </c>
      <c r="AL30" s="59">
        <f>F28*Small*1000000</f>
        <v>28774.220227214311</v>
      </c>
      <c r="AM30" s="59">
        <f>N28*Small*1000000</f>
        <v>262159.95555306663</v>
      </c>
      <c r="AN30" s="59">
        <f>X28*Small*1000000</f>
        <v>920212.12112718576</v>
      </c>
      <c r="AO30" s="59">
        <f>AH28*Small*1000000</f>
        <v>1517419.5245608005</v>
      </c>
      <c r="AP30" s="54">
        <v>13010.8</v>
      </c>
      <c r="AQ30" s="54">
        <f t="shared" si="9"/>
        <v>314269591.05747777</v>
      </c>
      <c r="AR30" s="54">
        <f t="shared" si="6"/>
        <v>3036535125.1775994</v>
      </c>
      <c r="AS30" s="54">
        <f t="shared" si="7"/>
        <v>8561785115.8517494</v>
      </c>
      <c r="AT30" s="54">
        <f t="shared" si="8"/>
        <v>7770146084.5940742</v>
      </c>
      <c r="AV30" s="64" t="s">
        <v>89</v>
      </c>
    </row>
    <row r="31" spans="1:48" x14ac:dyDescent="0.3">
      <c r="A31" s="80"/>
      <c r="B31" s="79" t="s">
        <v>47</v>
      </c>
      <c r="C31" s="50">
        <v>1.4892680000000002E-2</v>
      </c>
      <c r="D31" s="50">
        <v>3.3268270000000003E-2</v>
      </c>
      <c r="E31" s="50">
        <v>5.4158849999999994E-2</v>
      </c>
      <c r="F31" s="50">
        <v>7.5961419999999988E-2</v>
      </c>
      <c r="G31" s="50">
        <v>9.7661579999999901E-2</v>
      </c>
      <c r="H31" s="50">
        <v>0.11915105999999988</v>
      </c>
      <c r="I31" s="50">
        <v>0.14070867000000001</v>
      </c>
      <c r="J31" s="50">
        <v>0.16257683999999997</v>
      </c>
      <c r="K31" s="50">
        <v>0.18490234</v>
      </c>
      <c r="L31" s="50">
        <v>0.20777065</v>
      </c>
      <c r="M31" s="50">
        <v>0.23123098999999994</v>
      </c>
      <c r="N31" s="50">
        <v>0.25531089000000001</v>
      </c>
      <c r="O31" s="50">
        <v>0.28281260999999996</v>
      </c>
      <c r="P31" s="50">
        <v>0.31717531999999987</v>
      </c>
      <c r="Q31" s="50">
        <v>0.35839085999999987</v>
      </c>
      <c r="R31" s="50">
        <v>0.40643470999999987</v>
      </c>
      <c r="S31" s="50">
        <v>0.45782282999999974</v>
      </c>
      <c r="T31" s="50">
        <v>0.50904020999999999</v>
      </c>
      <c r="U31" s="50">
        <v>0.55994546000000001</v>
      </c>
      <c r="V31" s="50">
        <v>0.61030649000000003</v>
      </c>
      <c r="W31" s="50">
        <v>0.65976223999999983</v>
      </c>
      <c r="X31" s="50">
        <v>0.70778863999999875</v>
      </c>
      <c r="Y31" s="50">
        <v>0.75369936999999887</v>
      </c>
      <c r="Z31" s="50">
        <v>0.79674030999999979</v>
      </c>
      <c r="AA31" s="50">
        <v>0.83635408999999983</v>
      </c>
      <c r="AB31" s="50">
        <v>0.87262402999999888</v>
      </c>
      <c r="AC31" s="50">
        <v>0.90665825999999983</v>
      </c>
      <c r="AD31" s="50">
        <v>0.94034964999999993</v>
      </c>
      <c r="AE31" s="50">
        <v>0.9752034399999997</v>
      </c>
      <c r="AF31" s="50">
        <v>1.0112150600000001</v>
      </c>
      <c r="AG31" s="50">
        <v>1.0472583999999989</v>
      </c>
      <c r="AH31" s="50">
        <v>1.0823284099999999</v>
      </c>
      <c r="AJ31" s="55" t="s">
        <v>88</v>
      </c>
      <c r="AK31" s="59">
        <f>C31*Large*1000000</f>
        <v>3687.4275638190547</v>
      </c>
      <c r="AL31" s="59">
        <f>F31*Large*1000000</f>
        <v>18808.047570674717</v>
      </c>
      <c r="AM31" s="59">
        <f>N31*Large*1000000</f>
        <v>63214.976292324463</v>
      </c>
      <c r="AN31" s="59">
        <f>X31*Large*1000000</f>
        <v>175248.46706529631</v>
      </c>
      <c r="AO31" s="59">
        <f>AH31*Large*1000000</f>
        <v>267984.51401214895</v>
      </c>
      <c r="AP31" s="54">
        <v>32775.01</v>
      </c>
      <c r="AQ31" s="54">
        <f t="shared" si="9"/>
        <v>495578471.93089437</v>
      </c>
      <c r="AR31" s="54">
        <f t="shared" si="6"/>
        <v>1455437532.9213579</v>
      </c>
      <c r="AS31" s="54">
        <f t="shared" si="7"/>
        <v>3671898780.4190607</v>
      </c>
      <c r="AT31" s="54">
        <f t="shared" si="8"/>
        <v>3039424866.0435648</v>
      </c>
      <c r="AV31" s="64" t="s">
        <v>88</v>
      </c>
    </row>
    <row r="32" spans="1:48" x14ac:dyDescent="0.3">
      <c r="A32" s="80"/>
      <c r="B32" s="80"/>
      <c r="C32" s="50"/>
      <c r="D32" s="50"/>
      <c r="E32" s="50"/>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J32" s="55" t="s">
        <v>48</v>
      </c>
      <c r="AK32" s="59">
        <f>C31*Single*1000000</f>
        <v>6585.5431028758931</v>
      </c>
      <c r="AL32" s="59">
        <f>F31*Single*1000000</f>
        <v>33590.139959071086</v>
      </c>
      <c r="AM32" s="59">
        <f>N31*Single*1000000</f>
        <v>112898.47567587603</v>
      </c>
      <c r="AN32" s="59">
        <f>X31*Single*1000000</f>
        <v>312984.13693478267</v>
      </c>
      <c r="AO32" s="59">
        <f>AH31*Single*1000000</f>
        <v>478605.62340170669</v>
      </c>
      <c r="AP32" s="54">
        <v>45135.519999999997</v>
      </c>
      <c r="AQ32" s="54">
        <f t="shared" si="9"/>
        <v>1218866521.4947352</v>
      </c>
      <c r="AR32" s="54">
        <f t="shared" si="6"/>
        <v>3579622972.9125643</v>
      </c>
      <c r="AS32" s="54">
        <f t="shared" si="7"/>
        <v>9030970365.4646053</v>
      </c>
      <c r="AT32" s="54">
        <f t="shared" si="8"/>
        <v>7475411914.8575783</v>
      </c>
      <c r="AV32" s="64" t="s">
        <v>48</v>
      </c>
    </row>
    <row r="33" spans="1:49" x14ac:dyDescent="0.3">
      <c r="A33" s="80"/>
      <c r="B33" s="81"/>
      <c r="C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J33" s="55" t="s">
        <v>89</v>
      </c>
      <c r="AK33" s="59">
        <f>C31*Small*1000000</f>
        <v>4619.7093333050534</v>
      </c>
      <c r="AL33" s="59">
        <f>F31*Small*1000000</f>
        <v>23563.232470254181</v>
      </c>
      <c r="AM33" s="59">
        <f>N31*Small*1000000</f>
        <v>79197.438031799509</v>
      </c>
      <c r="AN33" s="59">
        <f>X31*Small*1000000</f>
        <v>219556.03599991972</v>
      </c>
      <c r="AO33" s="59">
        <f>AH31*Small*1000000</f>
        <v>335738.27258614422</v>
      </c>
      <c r="AP33" s="34">
        <v>6722.75</v>
      </c>
      <c r="AQ33" s="54">
        <v>41353.43</v>
      </c>
      <c r="AR33" s="54">
        <f t="shared" si="6"/>
        <v>374014855.43887883</v>
      </c>
      <c r="AS33" s="54">
        <f t="shared" si="7"/>
        <v>943595764.49018013</v>
      </c>
      <c r="AT33" s="54">
        <f t="shared" si="8"/>
        <v>781064131.01004064</v>
      </c>
      <c r="AV33" s="64" t="s">
        <v>89</v>
      </c>
    </row>
    <row r="34" spans="1:49" x14ac:dyDescent="0.3">
      <c r="A34" s="80"/>
      <c r="B34" s="79" t="s">
        <v>56</v>
      </c>
      <c r="C34" s="50">
        <v>7.9126098099999966</v>
      </c>
      <c r="D34" s="50">
        <v>8.2334852599999966</v>
      </c>
      <c r="E34" s="50">
        <v>8.1980509799999997</v>
      </c>
      <c r="F34" s="50">
        <v>8.1572972799999892</v>
      </c>
      <c r="G34" s="50">
        <v>8.1075479299999991</v>
      </c>
      <c r="H34" s="50">
        <v>8.0498388899999895</v>
      </c>
      <c r="I34" s="50">
        <v>7.9838604000000002</v>
      </c>
      <c r="J34" s="50">
        <v>7.8978813999999877</v>
      </c>
      <c r="K34" s="50">
        <v>7.7917132799999997</v>
      </c>
      <c r="L34" s="50">
        <v>7.660316889999998</v>
      </c>
      <c r="M34" s="50">
        <v>7.5035459199999899</v>
      </c>
      <c r="N34" s="50">
        <v>7.3236907099999993</v>
      </c>
      <c r="O34" s="50">
        <v>7.1226957799999981</v>
      </c>
      <c r="P34" s="50">
        <v>6.9022458799999766</v>
      </c>
      <c r="Q34" s="50">
        <v>6.6661421699999961</v>
      </c>
      <c r="R34" s="50">
        <v>6.4155116799999856</v>
      </c>
      <c r="S34" s="50">
        <v>6.1539993799999895</v>
      </c>
      <c r="T34" s="50">
        <v>5.8932926699999992</v>
      </c>
      <c r="U34" s="50">
        <v>5.6340010699999983</v>
      </c>
      <c r="V34" s="50">
        <v>5.3771083499999994</v>
      </c>
      <c r="W34" s="50">
        <v>5.1241117899999988</v>
      </c>
      <c r="X34" s="50">
        <v>4.8771169800000003</v>
      </c>
      <c r="Y34" s="50">
        <v>4.638738189999998</v>
      </c>
      <c r="Z34" s="50">
        <v>4.411529579999999</v>
      </c>
      <c r="AA34" s="50">
        <v>4.1966370499999988</v>
      </c>
      <c r="AB34" s="50">
        <v>3.9917759399999979</v>
      </c>
      <c r="AC34" s="50">
        <v>3.7899474799999968</v>
      </c>
      <c r="AD34" s="50">
        <v>3.5817727799999965</v>
      </c>
      <c r="AE34" s="50">
        <v>3.3624049500000002</v>
      </c>
      <c r="AF34" s="50">
        <v>3.1368771999999994</v>
      </c>
      <c r="AG34" s="50">
        <v>2.9162919500000002</v>
      </c>
      <c r="AH34" s="50">
        <v>2.7099273399999988</v>
      </c>
      <c r="AJ34" s="55" t="s">
        <v>88</v>
      </c>
      <c r="AK34" s="59">
        <f>C34*Large*1000000</f>
        <v>1959162.1867346265</v>
      </c>
      <c r="AL34" s="59">
        <f>F34*Large*1000000</f>
        <v>2019746.8042379315</v>
      </c>
      <c r="AM34" s="59">
        <f>N34*Large*1000000</f>
        <v>1813345.8177399593</v>
      </c>
      <c r="AN34" s="59">
        <f>X34*Large*1000000</f>
        <v>1207574.1628788067</v>
      </c>
      <c r="AO34" s="59">
        <f>AH34*Large*1000000</f>
        <v>670978.00862321933</v>
      </c>
      <c r="AP34" s="54">
        <v>3589.66</v>
      </c>
      <c r="AQ34" s="54">
        <f>IF(AL34-AK34&gt;0,(AL34-AK34)*$AP34,0)</f>
        <v>217478178.06691369</v>
      </c>
      <c r="AR34" s="54">
        <f t="shared" ref="AR34:AR36" si="10">IF(AM34-AL34&gt;0,(AM34-AL34)*$AP34,0)</f>
        <v>0</v>
      </c>
      <c r="AS34" s="54">
        <f t="shared" ref="AS34:AS36" si="11">IF(AN34-AM34&gt;0,(AN34-AM34)*$AP34,0)</f>
        <v>0</v>
      </c>
      <c r="AT34" s="54">
        <f t="shared" ref="AT34:AT36" si="12">IF(AO34-AN34&gt;0,(AO34-AN34)*$AP34,0)</f>
        <v>0</v>
      </c>
      <c r="AV34" s="64" t="s">
        <v>88</v>
      </c>
    </row>
    <row r="35" spans="1:49" x14ac:dyDescent="0.3">
      <c r="A35" s="80"/>
      <c r="B35" s="80"/>
      <c r="C35" s="50"/>
      <c r="D35" s="50"/>
      <c r="E35" s="50"/>
      <c r="F35" s="50"/>
      <c r="G35" s="50"/>
      <c r="H35" s="50"/>
      <c r="I35" s="50"/>
      <c r="J35" s="50"/>
      <c r="K35" s="50"/>
      <c r="L35" s="50"/>
      <c r="M35" s="50"/>
      <c r="N35" s="50"/>
      <c r="O35" s="50"/>
      <c r="P35" s="50"/>
      <c r="Q35" s="50"/>
      <c r="R35" s="50"/>
      <c r="S35" s="50"/>
      <c r="T35" s="50"/>
      <c r="U35" s="50"/>
      <c r="V35" s="50"/>
      <c r="W35" s="50"/>
      <c r="X35" s="50"/>
      <c r="Y35" s="50"/>
      <c r="Z35" s="50"/>
      <c r="AA35" s="50"/>
      <c r="AB35" s="50"/>
      <c r="AC35" s="50"/>
      <c r="AD35" s="50"/>
      <c r="AE35" s="50"/>
      <c r="AF35" s="50"/>
      <c r="AG35" s="50"/>
      <c r="AH35" s="50"/>
      <c r="AJ35" s="55" t="s">
        <v>48</v>
      </c>
      <c r="AK35" s="59">
        <f>C34*Single*1000000</f>
        <v>3498956.0616352195</v>
      </c>
      <c r="AL35" s="59">
        <f>F34*Single*1000000</f>
        <v>3607156.8609821871</v>
      </c>
      <c r="AM35" s="59">
        <f>N34*Single*1000000</f>
        <v>3238536.0353433187</v>
      </c>
      <c r="AN35" s="59">
        <f>X34*Single*1000000</f>
        <v>2156661.1308077457</v>
      </c>
      <c r="AO35" s="59">
        <f>AH34*Single*1000000</f>
        <v>1198329.8709991623</v>
      </c>
      <c r="AP35" s="54">
        <v>0</v>
      </c>
      <c r="AQ35" s="54">
        <f t="shared" ref="AQ35:AQ36" si="13">IF(AL35-AK35&gt;0,(AL35-AK35)*$AP35,0)</f>
        <v>0</v>
      </c>
      <c r="AR35" s="54">
        <f t="shared" si="10"/>
        <v>0</v>
      </c>
      <c r="AS35" s="54">
        <f t="shared" si="11"/>
        <v>0</v>
      </c>
      <c r="AT35" s="54">
        <f t="shared" si="12"/>
        <v>0</v>
      </c>
      <c r="AV35" s="64" t="s">
        <v>48</v>
      </c>
    </row>
    <row r="36" spans="1:49" x14ac:dyDescent="0.3">
      <c r="A36" s="80"/>
      <c r="B36" s="81"/>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J36" s="55" t="s">
        <v>89</v>
      </c>
      <c r="AK36" s="59">
        <f>C34*Small*1000000</f>
        <v>2454491.5616301503</v>
      </c>
      <c r="AL36" s="59">
        <f>F34*Small*1000000</f>
        <v>2530393.61477987</v>
      </c>
      <c r="AM36" s="59">
        <f>N34*Small*1000000</f>
        <v>2271808.8569167205</v>
      </c>
      <c r="AN36" s="59">
        <f>X34*Small*1000000</f>
        <v>1512881.6863134475</v>
      </c>
      <c r="AO36" s="59">
        <f>AH34*Small*1000000</f>
        <v>840619.46037761704</v>
      </c>
      <c r="AP36" s="54">
        <v>6722.75</v>
      </c>
      <c r="AQ36" s="54">
        <f t="shared" si="13"/>
        <v>510270527.81227827</v>
      </c>
      <c r="AR36" s="54">
        <f t="shared" si="10"/>
        <v>0</v>
      </c>
      <c r="AS36" s="54">
        <f t="shared" si="11"/>
        <v>0</v>
      </c>
      <c r="AT36" s="54">
        <f t="shared" si="12"/>
        <v>0</v>
      </c>
      <c r="AV36" s="64" t="s">
        <v>89</v>
      </c>
    </row>
    <row r="37" spans="1:49" x14ac:dyDescent="0.3">
      <c r="A37" s="81"/>
      <c r="B37" s="49" t="s">
        <v>28</v>
      </c>
      <c r="C37" s="50">
        <v>7.9423951499999967</v>
      </c>
      <c r="D37" s="50">
        <v>8.3019959999999973</v>
      </c>
      <c r="E37" s="50">
        <v>8.3139824200000003</v>
      </c>
      <c r="F37" s="50">
        <v>8.3260189199999886</v>
      </c>
      <c r="G37" s="50">
        <v>8.3381057199999997</v>
      </c>
      <c r="H37" s="50">
        <v>8.3502429799999884</v>
      </c>
      <c r="I37" s="50">
        <v>8.3624308000000003</v>
      </c>
      <c r="J37" s="50">
        <v>8.3746694199999876</v>
      </c>
      <c r="K37" s="50">
        <v>8.386958739999999</v>
      </c>
      <c r="L37" s="50">
        <v>8.399299209999997</v>
      </c>
      <c r="M37" s="50">
        <v>8.4116907399999885</v>
      </c>
      <c r="N37" s="50">
        <v>8.4241336299999983</v>
      </c>
      <c r="O37" s="50">
        <v>8.436628019999997</v>
      </c>
      <c r="P37" s="50">
        <v>8.4491739599999747</v>
      </c>
      <c r="Q37" s="50">
        <v>8.4617716899999955</v>
      </c>
      <c r="R37" s="50">
        <v>8.4744213299999842</v>
      </c>
      <c r="S37" s="50">
        <v>8.4871230399999877</v>
      </c>
      <c r="T37" s="50">
        <v>8.4998769899999989</v>
      </c>
      <c r="U37" s="50">
        <v>8.5126832699999966</v>
      </c>
      <c r="V37" s="50">
        <v>8.5255420799999975</v>
      </c>
      <c r="W37" s="50">
        <v>8.5384536400000002</v>
      </c>
      <c r="X37" s="50">
        <v>8.5514179399999968</v>
      </c>
      <c r="Y37" s="50">
        <v>8.5644352599999944</v>
      </c>
      <c r="Z37" s="50">
        <v>8.5775057599999975</v>
      </c>
      <c r="AA37" s="50">
        <v>8.5906294799999969</v>
      </c>
      <c r="AB37" s="50">
        <v>8.6038067099999953</v>
      </c>
      <c r="AC37" s="50">
        <v>8.6170375799999945</v>
      </c>
      <c r="AD37" s="50">
        <v>8.6303221599999915</v>
      </c>
      <c r="AE37" s="50">
        <v>8.643660689999999</v>
      </c>
      <c r="AF37" s="50">
        <v>8.6570533299999965</v>
      </c>
      <c r="AG37" s="50">
        <v>8.6705002499999981</v>
      </c>
      <c r="AH37" s="50">
        <v>8.6840014799999992</v>
      </c>
      <c r="AJ37" s="55" t="s">
        <v>28</v>
      </c>
      <c r="AK37" s="60">
        <f>SUM(AK28:AK36)</f>
        <v>7942395.1499999966</v>
      </c>
      <c r="AL37" s="60">
        <f>SUM(AL28:AL36)</f>
        <v>8326018.9199999887</v>
      </c>
      <c r="AM37" s="60">
        <f>SUM(AM28:AM36)</f>
        <v>8424133.6299999971</v>
      </c>
      <c r="AN37" s="60">
        <f>SUM(AN28:AN36)</f>
        <v>8551417.9399999976</v>
      </c>
      <c r="AO37" s="60">
        <f>SUM(AO28:AO36)</f>
        <v>8684001.4799999986</v>
      </c>
      <c r="AP37" s="60"/>
      <c r="AQ37" s="33">
        <f>SUM(AQ28:AQ36)</f>
        <v>3414231103.2418923</v>
      </c>
      <c r="AR37" s="33">
        <f t="shared" ref="AR37" si="14">SUM(AR28:AR36)</f>
        <v>14800693999.802839</v>
      </c>
      <c r="AS37" s="33">
        <f t="shared" ref="AS37" si="15">SUM(AS28:AS36)</f>
        <v>40126982130.940964</v>
      </c>
      <c r="AT37" s="33">
        <f t="shared" ref="AT37" si="16">SUM(AT28:AT36)</f>
        <v>35327978850.712173</v>
      </c>
      <c r="AU37" s="33">
        <f>SUM(AR37:AT37)</f>
        <v>90255654981.455978</v>
      </c>
      <c r="AV37" s="33">
        <f>AU37-AU$24</f>
        <v>69856948742.219299</v>
      </c>
      <c r="AW37" t="s">
        <v>28</v>
      </c>
    </row>
    <row r="38" spans="1:49" x14ac:dyDescent="0.3">
      <c r="AV38" s="33">
        <f>AV37/29</f>
        <v>2408860301.4558377</v>
      </c>
      <c r="AW38" t="s">
        <v>95</v>
      </c>
    </row>
    <row r="39" spans="1:49" x14ac:dyDescent="0.3">
      <c r="A39" s="87" t="s">
        <v>69</v>
      </c>
      <c r="B39" s="87"/>
      <c r="C39" s="87"/>
      <c r="D39" s="87"/>
      <c r="E39" s="87"/>
      <c r="F39" s="87"/>
      <c r="G39" s="87"/>
      <c r="H39" s="87"/>
      <c r="I39" s="87"/>
      <c r="J39" s="87"/>
      <c r="K39" s="87"/>
      <c r="L39" s="87"/>
      <c r="M39" s="87"/>
      <c r="N39" s="87"/>
      <c r="O39" s="87"/>
      <c r="P39" s="87"/>
      <c r="Q39" s="87"/>
      <c r="R39" s="87"/>
      <c r="S39" s="87"/>
      <c r="T39" s="87"/>
      <c r="U39" s="87"/>
      <c r="V39" s="87"/>
      <c r="W39" s="87"/>
      <c r="X39" s="87"/>
      <c r="Y39" s="87"/>
      <c r="Z39" s="87"/>
      <c r="AA39" s="87"/>
      <c r="AB39" s="87"/>
      <c r="AC39" s="87"/>
      <c r="AD39" s="87"/>
      <c r="AE39" s="87"/>
      <c r="AF39" s="87"/>
      <c r="AG39" s="87"/>
      <c r="AH39" s="87"/>
    </row>
    <row r="40" spans="1:49" x14ac:dyDescent="0.3">
      <c r="A40" s="47" t="s">
        <v>61</v>
      </c>
      <c r="B40" s="47" t="s">
        <v>66</v>
      </c>
      <c r="C40" s="48">
        <v>2019</v>
      </c>
      <c r="D40" s="47">
        <v>2020</v>
      </c>
      <c r="E40" s="47">
        <v>2021</v>
      </c>
      <c r="F40" s="47">
        <v>2022</v>
      </c>
      <c r="G40" s="47">
        <v>2023</v>
      </c>
      <c r="H40" s="47">
        <v>2024</v>
      </c>
      <c r="I40" s="47">
        <v>2025</v>
      </c>
      <c r="J40" s="47">
        <v>2026</v>
      </c>
      <c r="K40" s="47">
        <v>2027</v>
      </c>
      <c r="L40" s="47">
        <v>2028</v>
      </c>
      <c r="M40" s="47">
        <v>2029</v>
      </c>
      <c r="N40" s="47">
        <v>2030</v>
      </c>
      <c r="O40" s="47">
        <v>2031</v>
      </c>
      <c r="P40" s="47">
        <v>2032</v>
      </c>
      <c r="Q40" s="47">
        <v>2033</v>
      </c>
      <c r="R40" s="47">
        <v>2034</v>
      </c>
      <c r="S40" s="47">
        <v>2035</v>
      </c>
      <c r="T40" s="47">
        <v>2036</v>
      </c>
      <c r="U40" s="47">
        <v>2037</v>
      </c>
      <c r="V40" s="47">
        <v>2038</v>
      </c>
      <c r="W40" s="47">
        <v>2039</v>
      </c>
      <c r="X40" s="47">
        <v>2040</v>
      </c>
      <c r="Y40" s="47">
        <v>2041</v>
      </c>
      <c r="Z40" s="47">
        <v>2042</v>
      </c>
      <c r="AA40" s="47">
        <v>2043</v>
      </c>
      <c r="AB40" s="47">
        <v>2044</v>
      </c>
      <c r="AC40" s="47">
        <v>2045</v>
      </c>
      <c r="AD40" s="47">
        <v>2046</v>
      </c>
      <c r="AE40" s="47">
        <v>2047</v>
      </c>
      <c r="AF40" s="47">
        <v>2048</v>
      </c>
      <c r="AG40" s="47">
        <v>2049</v>
      </c>
      <c r="AH40" s="47">
        <v>2050</v>
      </c>
      <c r="AK40" s="56">
        <v>2018</v>
      </c>
      <c r="AL40" s="56">
        <v>2020</v>
      </c>
      <c r="AM40" s="56">
        <v>2030</v>
      </c>
      <c r="AN40" s="56">
        <v>2040</v>
      </c>
      <c r="AO40" s="56">
        <v>2050</v>
      </c>
      <c r="AP40" s="61" t="s">
        <v>92</v>
      </c>
      <c r="AQ40" s="62">
        <v>2022</v>
      </c>
      <c r="AR40" s="62">
        <v>2030</v>
      </c>
      <c r="AS40" s="62">
        <v>2040</v>
      </c>
      <c r="AT40" s="62">
        <v>2050</v>
      </c>
    </row>
    <row r="41" spans="1:49" x14ac:dyDescent="0.3">
      <c r="A41" s="79" t="s">
        <v>87</v>
      </c>
      <c r="B41" s="79" t="s">
        <v>46</v>
      </c>
      <c r="C41" s="50">
        <v>1.9484089999999999E-2</v>
      </c>
      <c r="D41" s="50">
        <v>4.8550629999999997E-2</v>
      </c>
      <c r="E41" s="50">
        <v>9.2513839999999875E-2</v>
      </c>
      <c r="F41" s="50">
        <v>0.14900666999999987</v>
      </c>
      <c r="G41" s="50">
        <v>0.22976027999999979</v>
      </c>
      <c r="H41" s="50">
        <v>0.33245259999999988</v>
      </c>
      <c r="I41" s="50">
        <v>0.46596368999999976</v>
      </c>
      <c r="J41" s="50">
        <v>0.63045818999999992</v>
      </c>
      <c r="K41" s="50">
        <v>0.81742614999999985</v>
      </c>
      <c r="L41" s="50">
        <v>1.02732307</v>
      </c>
      <c r="M41" s="50">
        <v>1.2472489599999994</v>
      </c>
      <c r="N41" s="50">
        <v>1.4774464299999981</v>
      </c>
      <c r="O41" s="50">
        <v>1.7111459499999988</v>
      </c>
      <c r="P41" s="50">
        <v>1.9484050999999971</v>
      </c>
      <c r="Q41" s="50">
        <v>2.18671551</v>
      </c>
      <c r="R41" s="50">
        <v>2.4260006299999999</v>
      </c>
      <c r="S41" s="50">
        <v>2.6652941799999987</v>
      </c>
      <c r="T41" s="50">
        <v>2.9042844599999991</v>
      </c>
      <c r="U41" s="50">
        <v>3.1421942699999992</v>
      </c>
      <c r="V41" s="50">
        <v>3.3781605599999978</v>
      </c>
      <c r="W41" s="50">
        <v>3.6108045699999973</v>
      </c>
      <c r="X41" s="50">
        <v>3.8382515299999977</v>
      </c>
      <c r="Y41" s="50">
        <v>4.0580921399999985</v>
      </c>
      <c r="Z41" s="50">
        <v>4.2679234599999996</v>
      </c>
      <c r="AA41" s="50">
        <v>4.4664024399999995</v>
      </c>
      <c r="AB41" s="50">
        <v>4.6548874599999994</v>
      </c>
      <c r="AC41" s="50">
        <v>4.8383959899999871</v>
      </c>
      <c r="AD41" s="50">
        <v>5.0234308799999994</v>
      </c>
      <c r="AE41" s="50">
        <v>5.2119940299999996</v>
      </c>
      <c r="AF41" s="50">
        <v>5.3973172399999987</v>
      </c>
      <c r="AG41" s="50">
        <v>5.5678768499999993</v>
      </c>
      <c r="AH41" s="50">
        <v>5.714918479999989</v>
      </c>
      <c r="AJ41" s="55" t="s">
        <v>88</v>
      </c>
      <c r="AK41" s="59">
        <f>C41*Large*1000000</f>
        <v>4824.2606785300695</v>
      </c>
      <c r="AL41" s="59">
        <f>F41*Large*1000000</f>
        <v>36894.051450168088</v>
      </c>
      <c r="AM41" s="59">
        <f>N41*Large*1000000</f>
        <v>365815.7356532237</v>
      </c>
      <c r="AN41" s="59">
        <f>X41*Large*1000000</f>
        <v>950351.07775045524</v>
      </c>
      <c r="AO41" s="59">
        <f>AH41*Large*1000000</f>
        <v>1415013.8140436008</v>
      </c>
      <c r="AP41" s="54">
        <v>22668.95</v>
      </c>
      <c r="AQ41" s="54">
        <f>(AL41-AK41)*$AP41</f>
        <v>726988483.51272368</v>
      </c>
      <c r="AR41" s="54">
        <f t="shared" ref="AR41:AR46" si="17">(AM41-AL41)*$AP41</f>
        <v>7456309213.1148577</v>
      </c>
      <c r="AS41" s="54">
        <f t="shared" ref="AS41:AS46" si="18">(AN41-AM41)*$AP41</f>
        <v>13250802443.235037</v>
      </c>
      <c r="AT41" s="54">
        <f t="shared" ref="AT41:AT46" si="19">(AO41-AN41)*$AP41</f>
        <v>10533416335.892502</v>
      </c>
      <c r="AV41" s="64" t="s">
        <v>88</v>
      </c>
    </row>
    <row r="42" spans="1:49" x14ac:dyDescent="0.3">
      <c r="A42" s="80"/>
      <c r="B42" s="80"/>
      <c r="C42" s="50"/>
      <c r="D42" s="50"/>
      <c r="E42" s="50"/>
      <c r="F42" s="50"/>
      <c r="G42" s="50"/>
      <c r="H42" s="50"/>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J42" s="55" t="s">
        <v>48</v>
      </c>
      <c r="AK42" s="59">
        <f>C41*Single*1000000</f>
        <v>8615.8646069957267</v>
      </c>
      <c r="AL42" s="59">
        <f>F41*Single*1000000</f>
        <v>65890.749542795733</v>
      </c>
      <c r="AM42" s="59">
        <f>N41*Single*1000000</f>
        <v>653326.8120281304</v>
      </c>
      <c r="AN42" s="59">
        <f>X41*Single*1000000</f>
        <v>1697274.8283381045</v>
      </c>
      <c r="AO42" s="59">
        <f>AH41*Single*1000000</f>
        <v>2527136.9544945504</v>
      </c>
      <c r="AP42" s="54">
        <v>6408.64</v>
      </c>
      <c r="AQ42" s="54">
        <f t="shared" ref="AQ42:AQ45" si="20">(AL42-AK42)*$AP42</f>
        <v>367054118.5949654</v>
      </c>
      <c r="AR42" s="54">
        <f t="shared" si="17"/>
        <v>3764666247.4860153</v>
      </c>
      <c r="AS42" s="54">
        <f t="shared" si="18"/>
        <v>6690287015.2447529</v>
      </c>
      <c r="AT42" s="54">
        <f t="shared" si="19"/>
        <v>5318287616.1712456</v>
      </c>
      <c r="AV42" s="64" t="s">
        <v>48</v>
      </c>
    </row>
    <row r="43" spans="1:49" x14ac:dyDescent="0.3">
      <c r="A43" s="80"/>
      <c r="B43" s="81"/>
      <c r="C43" s="50"/>
      <c r="D43" s="50"/>
      <c r="E43" s="50"/>
      <c r="F43" s="50"/>
      <c r="G43" s="50"/>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J43" s="55" t="s">
        <v>89</v>
      </c>
      <c r="AK43" s="59">
        <f>C41*Small*1000000</f>
        <v>6043.9647144742012</v>
      </c>
      <c r="AL43" s="59">
        <f>F41*Small*1000000</f>
        <v>46221.869007036039</v>
      </c>
      <c r="AM43" s="59">
        <f>N41*Small*1000000</f>
        <v>458303.88231864391</v>
      </c>
      <c r="AN43" s="59">
        <f>X41*Small*1000000</f>
        <v>1190625.6239114376</v>
      </c>
      <c r="AO43" s="59">
        <f>AH41*Small*1000000</f>
        <v>1772767.7114618374</v>
      </c>
      <c r="AP43" s="54">
        <v>13010.8</v>
      </c>
      <c r="AQ43" s="54">
        <f t="shared" si="20"/>
        <v>522746677.16966355</v>
      </c>
      <c r="AR43" s="54">
        <f t="shared" si="17"/>
        <v>5361516658.7946672</v>
      </c>
      <c r="AS43" s="54">
        <f t="shared" si="18"/>
        <v>9528091715.5155201</v>
      </c>
      <c r="AT43" s="54">
        <f t="shared" si="19"/>
        <v>7574134272.7007418</v>
      </c>
      <c r="AV43" s="64" t="s">
        <v>89</v>
      </c>
    </row>
    <row r="44" spans="1:49" x14ac:dyDescent="0.3">
      <c r="A44" s="80"/>
      <c r="B44" s="79" t="s">
        <v>47</v>
      </c>
      <c r="C44" s="50">
        <v>1.630599999999998E-2</v>
      </c>
      <c r="D44" s="50">
        <v>3.7698629999999976E-2</v>
      </c>
      <c r="E44" s="50">
        <v>6.4873330000000007E-2</v>
      </c>
      <c r="F44" s="50">
        <v>9.6007949999999981E-2</v>
      </c>
      <c r="G44" s="50">
        <v>0.13408743999999995</v>
      </c>
      <c r="H44" s="50">
        <v>0.17836689999999997</v>
      </c>
      <c r="I44" s="50">
        <v>0.23177132999999989</v>
      </c>
      <c r="J44" s="50">
        <v>0.29450744000000001</v>
      </c>
      <c r="K44" s="50">
        <v>0.36404867999999968</v>
      </c>
      <c r="L44" s="50">
        <v>0.44058607999999982</v>
      </c>
      <c r="M44" s="50">
        <v>0.52017798999999998</v>
      </c>
      <c r="N44" s="50">
        <v>0.60291420999999978</v>
      </c>
      <c r="O44" s="50">
        <v>0.6867211999999997</v>
      </c>
      <c r="P44" s="50">
        <v>0.77161894999999969</v>
      </c>
      <c r="Q44" s="50">
        <v>0.85683130999999979</v>
      </c>
      <c r="R44" s="50">
        <v>0.94232717999999882</v>
      </c>
      <c r="S44" s="50">
        <v>1.0305954299999978</v>
      </c>
      <c r="T44" s="50">
        <v>1.121497089999999</v>
      </c>
      <c r="U44" s="50">
        <v>1.2147862899999997</v>
      </c>
      <c r="V44" s="50">
        <v>1.3100510099999989</v>
      </c>
      <c r="W44" s="50">
        <v>1.4066384499999978</v>
      </c>
      <c r="X44" s="50">
        <v>1.5035880599999989</v>
      </c>
      <c r="Y44" s="50">
        <v>1.5969167999999987</v>
      </c>
      <c r="Z44" s="50">
        <v>1.6854155099999988</v>
      </c>
      <c r="AA44" s="50">
        <v>1.7683046</v>
      </c>
      <c r="AB44" s="50">
        <v>1.8460038599999975</v>
      </c>
      <c r="AC44" s="50">
        <v>1.9206719399999979</v>
      </c>
      <c r="AD44" s="50">
        <v>1.9954376999999996</v>
      </c>
      <c r="AE44" s="50">
        <v>2.0719110099999987</v>
      </c>
      <c r="AF44" s="50">
        <v>2.1481981599999993</v>
      </c>
      <c r="AG44" s="50">
        <v>2.2202825800000001</v>
      </c>
      <c r="AH44" s="50">
        <v>2.2850026999999975</v>
      </c>
      <c r="AJ44" s="55" t="s">
        <v>88</v>
      </c>
      <c r="AK44" s="59">
        <f>C44*Large*1000000</f>
        <v>4037.3655954222759</v>
      </c>
      <c r="AL44" s="59">
        <f>F44*Large*1000000</f>
        <v>23771.568393046888</v>
      </c>
      <c r="AM44" s="59">
        <f>N44*Large*1000000</f>
        <v>149281.55822673882</v>
      </c>
      <c r="AN44" s="59">
        <f>X44*Large*1000000</f>
        <v>372288.40323388495</v>
      </c>
      <c r="AO44" s="59">
        <f>AH44*Large*1000000</f>
        <v>565766.66787851159</v>
      </c>
      <c r="AP44" s="54">
        <v>32775.01</v>
      </c>
      <c r="AQ44" s="54">
        <f t="shared" si="20"/>
        <v>646788694.03417456</v>
      </c>
      <c r="AR44" s="54">
        <f t="shared" si="17"/>
        <v>4113591171.8991518</v>
      </c>
      <c r="AS44" s="54">
        <f t="shared" si="18"/>
        <v>7309051575.1776648</v>
      </c>
      <c r="AT44" s="54">
        <f t="shared" si="19"/>
        <v>6341252058.5102854</v>
      </c>
      <c r="AV44" s="64" t="s">
        <v>88</v>
      </c>
    </row>
    <row r="45" spans="1:49" x14ac:dyDescent="0.3">
      <c r="A45" s="80"/>
      <c r="B45" s="80"/>
      <c r="C45" s="50"/>
      <c r="D45" s="50"/>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J45" s="55" t="s">
        <v>48</v>
      </c>
      <c r="AK45" s="59">
        <f>C44*Single*1000000</f>
        <v>7210.5132075284064</v>
      </c>
      <c r="AL45" s="59">
        <f>F44*Single*1000000</f>
        <v>42454.715534326482</v>
      </c>
      <c r="AM45" s="59">
        <f>N44*Single*1000000</f>
        <v>266608.66394036304</v>
      </c>
      <c r="AN45" s="59">
        <f>X44*Single*1000000</f>
        <v>664886.64082620014</v>
      </c>
      <c r="AO45" s="59">
        <f>AH44*Single*1000000</f>
        <v>1010428.1949949756</v>
      </c>
      <c r="AP45" s="54">
        <v>45135.519999999997</v>
      </c>
      <c r="AQ45" s="54">
        <f t="shared" si="20"/>
        <v>1590765399.0052409</v>
      </c>
      <c r="AR45" s="54">
        <f t="shared" si="17"/>
        <v>10117305021.359631</v>
      </c>
      <c r="AS45" s="54">
        <f t="shared" si="18"/>
        <v>17976483591.290237</v>
      </c>
      <c r="AT45" s="54">
        <f t="shared" si="19"/>
        <v>15596197729.015846</v>
      </c>
      <c r="AV45" s="64" t="s">
        <v>48</v>
      </c>
    </row>
    <row r="46" spans="1:49" x14ac:dyDescent="0.3">
      <c r="A46" s="80"/>
      <c r="B46" s="81"/>
      <c r="C46" s="50"/>
      <c r="D46" s="50"/>
      <c r="E46" s="50"/>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J46" s="55" t="s">
        <v>89</v>
      </c>
      <c r="AK46" s="59">
        <f>C44*Small*1000000</f>
        <v>5058.1211970492959</v>
      </c>
      <c r="AL46" s="59">
        <f>F44*Small*1000000</f>
        <v>29781.666072626605</v>
      </c>
      <c r="AM46" s="59">
        <f>N44*Small*1000000</f>
        <v>187023.9878328979</v>
      </c>
      <c r="AN46" s="59">
        <f>X44*Small*1000000</f>
        <v>466413.01593991363</v>
      </c>
      <c r="AO46" s="59">
        <f>AH44*Small*1000000</f>
        <v>708807.8371265101</v>
      </c>
      <c r="AP46" s="34">
        <v>6722.75</v>
      </c>
      <c r="AQ46" s="54">
        <v>41353.43</v>
      </c>
      <c r="AR46" s="54">
        <f t="shared" si="17"/>
        <v>1057100818.6138638</v>
      </c>
      <c r="AS46" s="54">
        <f t="shared" si="18"/>
        <v>1878262588.7064402</v>
      </c>
      <c r="AT46" s="54">
        <f t="shared" si="19"/>
        <v>1629559784.1321914</v>
      </c>
      <c r="AV46" s="64" t="s">
        <v>89</v>
      </c>
    </row>
    <row r="47" spans="1:49" x14ac:dyDescent="0.3">
      <c r="A47" s="80"/>
      <c r="B47" s="79" t="s">
        <v>56</v>
      </c>
      <c r="C47" s="50">
        <v>7.9066050899999976</v>
      </c>
      <c r="D47" s="50">
        <v>8.2157467699999973</v>
      </c>
      <c r="E47" s="50">
        <v>8.1565952499999881</v>
      </c>
      <c r="F47" s="50">
        <v>8.0810043199999875</v>
      </c>
      <c r="G47" s="50">
        <v>7.974258049999988</v>
      </c>
      <c r="H47" s="50">
        <v>7.839423519999988</v>
      </c>
      <c r="I47" s="50">
        <v>7.6646957899999988</v>
      </c>
      <c r="J47" s="50">
        <v>7.4497036999999988</v>
      </c>
      <c r="K47" s="50">
        <v>7.205483919999998</v>
      </c>
      <c r="L47" s="50">
        <v>6.9313900399999993</v>
      </c>
      <c r="M47" s="50">
        <v>6.6442638299999981</v>
      </c>
      <c r="N47" s="50">
        <v>6.3437730199999995</v>
      </c>
      <c r="O47" s="50">
        <v>6.0387608400000001</v>
      </c>
      <c r="P47" s="50">
        <v>5.7291499099999985</v>
      </c>
      <c r="Q47" s="50">
        <v>5.4182248599999978</v>
      </c>
      <c r="R47" s="50">
        <v>5.1060935700000005</v>
      </c>
      <c r="S47" s="50">
        <v>4.7912334599999991</v>
      </c>
      <c r="T47" s="50">
        <v>4.4740954199999985</v>
      </c>
      <c r="U47" s="50">
        <v>4.155702719999999</v>
      </c>
      <c r="V47" s="50">
        <v>3.8373305499999977</v>
      </c>
      <c r="W47" s="50">
        <v>3.5210105900000004</v>
      </c>
      <c r="X47" s="50">
        <v>3.2095783400000002</v>
      </c>
      <c r="Y47" s="50">
        <v>2.9094263199999992</v>
      </c>
      <c r="Z47" s="50">
        <v>2.6241667399999997</v>
      </c>
      <c r="AA47" s="50">
        <v>2.3559224199999989</v>
      </c>
      <c r="AB47" s="50">
        <v>2.1029154299999986</v>
      </c>
      <c r="AC47" s="50">
        <v>1.8579696299999999</v>
      </c>
      <c r="AD47" s="50">
        <v>1.6114535999999997</v>
      </c>
      <c r="AE47" s="50">
        <v>1.359755649999999</v>
      </c>
      <c r="AF47" s="50">
        <v>1.1115379299999988</v>
      </c>
      <c r="AG47" s="50">
        <v>0.88234075999999884</v>
      </c>
      <c r="AH47" s="50">
        <v>0.68408031000000002</v>
      </c>
      <c r="AJ47" s="55" t="s">
        <v>88</v>
      </c>
      <c r="AK47" s="59">
        <f>C47*Large*1000000</f>
        <v>1957675.4180643125</v>
      </c>
      <c r="AL47" s="59">
        <f>F47*Large*1000000</f>
        <v>2000856.6673633491</v>
      </c>
      <c r="AM47" s="59">
        <f>N47*Large*1000000</f>
        <v>1570718.1979710599</v>
      </c>
      <c r="AN47" s="59">
        <f>X47*Large*1000000</f>
        <v>794691.5960829485</v>
      </c>
      <c r="AO47" s="59">
        <f>AH47*Large*1000000</f>
        <v>169378.28456395245</v>
      </c>
      <c r="AP47" s="54">
        <v>3589.66</v>
      </c>
      <c r="AQ47" s="54">
        <f>IF(AL47-AK47&gt;0,(AL47-AK47)*$AP47,0)</f>
        <v>155006003.35877961</v>
      </c>
      <c r="AR47" s="54">
        <f t="shared" ref="AR47:AR49" si="21">IF(AM47-AL47&gt;0,(AM47-AL47)*$AP47,0)</f>
        <v>0</v>
      </c>
      <c r="AS47" s="54">
        <f t="shared" ref="AS47:AS49" si="22">IF(AN47-AM47&gt;0,(AN47-AM47)*$AP47,0)</f>
        <v>0</v>
      </c>
      <c r="AT47" s="54">
        <f t="shared" ref="AT47:AT49" si="23">IF(AO47-AN47&gt;0,(AO47-AN47)*$AP47,0)</f>
        <v>0</v>
      </c>
      <c r="AV47" s="64" t="s">
        <v>88</v>
      </c>
    </row>
    <row r="48" spans="1:49" x14ac:dyDescent="0.3">
      <c r="A48" s="80"/>
      <c r="B48" s="80"/>
      <c r="C48" s="50"/>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J48" s="55" t="s">
        <v>48</v>
      </c>
      <c r="AK48" s="59">
        <f>C47*Single*1000000</f>
        <v>3496300.7744484474</v>
      </c>
      <c r="AL48" s="59">
        <f>F47*Single*1000000</f>
        <v>3573420.1140349624</v>
      </c>
      <c r="AM48" s="59">
        <f>N47*Single*1000000</f>
        <v>2805216.4323728951</v>
      </c>
      <c r="AN48" s="59">
        <f>X47*Single*1000000</f>
        <v>1419275.5434298497</v>
      </c>
      <c r="AO48" s="59">
        <f>AH47*Single*1000000</f>
        <v>302500.31339783716</v>
      </c>
      <c r="AP48" s="54">
        <v>0</v>
      </c>
      <c r="AQ48" s="54">
        <f t="shared" ref="AQ48:AQ49" si="24">IF(AL48-AK48&gt;0,(AL48-AK48)*$AP48,0)</f>
        <v>0</v>
      </c>
      <c r="AR48" s="54">
        <f t="shared" si="21"/>
        <v>0</v>
      </c>
      <c r="AS48" s="54">
        <f t="shared" si="22"/>
        <v>0</v>
      </c>
      <c r="AT48" s="54">
        <f t="shared" si="23"/>
        <v>0</v>
      </c>
      <c r="AV48" s="64" t="s">
        <v>48</v>
      </c>
    </row>
    <row r="49" spans="1:49" x14ac:dyDescent="0.3">
      <c r="A49" s="80"/>
      <c r="B49" s="81"/>
      <c r="C49" s="50"/>
      <c r="D49" s="50"/>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J49" s="55" t="s">
        <v>89</v>
      </c>
      <c r="AK49" s="59">
        <f>C47*Small*1000000</f>
        <v>2452628.8974872371</v>
      </c>
      <c r="AL49" s="59">
        <f>F47*Small*1000000</f>
        <v>2506727.5386016751</v>
      </c>
      <c r="AM49" s="59">
        <f>N47*Small*1000000</f>
        <v>1967838.3896560445</v>
      </c>
      <c r="AN49" s="59">
        <f>X47*Small*1000000</f>
        <v>995611.2004872018</v>
      </c>
      <c r="AO49" s="59">
        <f>AH47*Small*1000000</f>
        <v>212201.7120382103</v>
      </c>
      <c r="AP49" s="54">
        <v>6722.75</v>
      </c>
      <c r="AQ49" s="54">
        <f t="shared" si="24"/>
        <v>363691639.55208772</v>
      </c>
      <c r="AR49" s="54">
        <f t="shared" si="21"/>
        <v>0</v>
      </c>
      <c r="AS49" s="54">
        <f t="shared" si="22"/>
        <v>0</v>
      </c>
      <c r="AT49" s="54">
        <f t="shared" si="23"/>
        <v>0</v>
      </c>
      <c r="AV49" s="64" t="s">
        <v>89</v>
      </c>
    </row>
    <row r="50" spans="1:49" x14ac:dyDescent="0.3">
      <c r="A50" s="81"/>
      <c r="B50" s="49" t="s">
        <v>28</v>
      </c>
      <c r="C50" s="50">
        <v>7.9423951799999974</v>
      </c>
      <c r="D50" s="50">
        <v>8.301996029999998</v>
      </c>
      <c r="E50" s="50">
        <v>8.3139824199999879</v>
      </c>
      <c r="F50" s="50">
        <v>8.3260189399999867</v>
      </c>
      <c r="G50" s="50">
        <v>8.3381057699999879</v>
      </c>
      <c r="H50" s="50">
        <v>8.3502430199999882</v>
      </c>
      <c r="I50" s="50">
        <v>8.3624308099999993</v>
      </c>
      <c r="J50" s="50">
        <v>8.3746693299999997</v>
      </c>
      <c r="K50" s="50">
        <v>8.386958749999998</v>
      </c>
      <c r="L50" s="50">
        <v>8.3992991899999989</v>
      </c>
      <c r="M50" s="50">
        <v>8.4116907799999971</v>
      </c>
      <c r="N50" s="50">
        <v>8.4241336599999972</v>
      </c>
      <c r="O50" s="50">
        <v>8.4366279899999981</v>
      </c>
      <c r="P50" s="50">
        <v>8.449173959999996</v>
      </c>
      <c r="Q50" s="50">
        <v>8.4617716799999982</v>
      </c>
      <c r="R50" s="50">
        <v>8.474421379999999</v>
      </c>
      <c r="S50" s="50">
        <v>8.4871230699999956</v>
      </c>
      <c r="T50" s="50">
        <v>8.4998769699999954</v>
      </c>
      <c r="U50" s="50">
        <v>8.5126832799999974</v>
      </c>
      <c r="V50" s="50">
        <v>8.5255421199999937</v>
      </c>
      <c r="W50" s="50">
        <v>8.5384536099999941</v>
      </c>
      <c r="X50" s="50">
        <v>8.5514179299999959</v>
      </c>
      <c r="Y50" s="50">
        <v>8.5644352599999962</v>
      </c>
      <c r="Z50" s="50">
        <v>8.577505709999997</v>
      </c>
      <c r="AA50" s="50">
        <v>8.5906294599999988</v>
      </c>
      <c r="AB50" s="50">
        <v>8.6038067499999968</v>
      </c>
      <c r="AC50" s="50">
        <v>8.617037559999984</v>
      </c>
      <c r="AD50" s="50">
        <v>8.6303221799999985</v>
      </c>
      <c r="AE50" s="50">
        <v>8.6436606899999973</v>
      </c>
      <c r="AF50" s="50">
        <v>8.6570533299999965</v>
      </c>
      <c r="AG50" s="50">
        <v>8.6705001899999985</v>
      </c>
      <c r="AH50" s="50">
        <v>8.6840014899999876</v>
      </c>
      <c r="AJ50" s="55" t="s">
        <v>28</v>
      </c>
      <c r="AK50" s="60">
        <f>SUM(AK41:AK49)</f>
        <v>7942395.1799999969</v>
      </c>
      <c r="AL50" s="60">
        <f>SUM(AL41:AL49)</f>
        <v>8326018.9399999864</v>
      </c>
      <c r="AM50" s="60">
        <f>SUM(AM41:AM49)</f>
        <v>8424133.6599999964</v>
      </c>
      <c r="AN50" s="60">
        <f>SUM(AN41:AN49)</f>
        <v>8551417.929999996</v>
      </c>
      <c r="AO50" s="60">
        <f>SUM(AO41:AO49)</f>
        <v>8684001.4899999853</v>
      </c>
      <c r="AP50" s="60"/>
      <c r="AQ50" s="33">
        <f>SUM(AQ41:AQ49)</f>
        <v>4373082368.6576347</v>
      </c>
      <c r="AR50" s="33">
        <f t="shared" ref="AR50" si="25">SUM(AR41:AR49)</f>
        <v>31870489131.268185</v>
      </c>
      <c r="AS50" s="33">
        <f t="shared" ref="AS50" si="26">SUM(AS41:AS49)</f>
        <v>56632978929.169655</v>
      </c>
      <c r="AT50" s="33">
        <f t="shared" ref="AT50" si="27">SUM(AT41:AT49)</f>
        <v>46992847796.422813</v>
      </c>
      <c r="AU50" s="33">
        <f>SUM(AR50:AT50)</f>
        <v>135496315856.86066</v>
      </c>
      <c r="AV50" s="33">
        <f>AU50-AU$24</f>
        <v>115097609617.62398</v>
      </c>
      <c r="AW50" t="s">
        <v>28</v>
      </c>
    </row>
    <row r="51" spans="1:49" x14ac:dyDescent="0.3">
      <c r="AV51" s="33">
        <f>AV50/29</f>
        <v>3968883090.2628956</v>
      </c>
      <c r="AW51" t="s">
        <v>95</v>
      </c>
    </row>
    <row r="52" spans="1:49" x14ac:dyDescent="0.3">
      <c r="A52" s="87" t="s">
        <v>70</v>
      </c>
      <c r="B52" s="87"/>
      <c r="C52" s="87"/>
      <c r="D52" s="87"/>
      <c r="E52" s="87"/>
      <c r="F52" s="87"/>
      <c r="G52" s="87"/>
      <c r="H52" s="87"/>
      <c r="I52" s="87"/>
      <c r="J52" s="87"/>
      <c r="K52" s="87"/>
      <c r="L52" s="87"/>
      <c r="M52" s="87"/>
      <c r="N52" s="87"/>
      <c r="O52" s="87"/>
      <c r="P52" s="87"/>
      <c r="Q52" s="87"/>
      <c r="R52" s="87"/>
      <c r="S52" s="87"/>
      <c r="T52" s="87"/>
      <c r="U52" s="87"/>
      <c r="V52" s="87"/>
      <c r="W52" s="87"/>
      <c r="X52" s="87"/>
      <c r="Y52" s="87"/>
      <c r="Z52" s="87"/>
      <c r="AA52" s="87"/>
      <c r="AB52" s="87"/>
      <c r="AC52" s="87"/>
      <c r="AD52" s="87"/>
      <c r="AE52" s="87"/>
      <c r="AF52" s="87"/>
      <c r="AG52" s="87"/>
      <c r="AH52" s="87"/>
    </row>
    <row r="53" spans="1:49" x14ac:dyDescent="0.3">
      <c r="A53" s="47" t="s">
        <v>61</v>
      </c>
      <c r="B53" s="47" t="s">
        <v>66</v>
      </c>
      <c r="C53" s="48">
        <v>2019</v>
      </c>
      <c r="D53" s="47">
        <v>2020</v>
      </c>
      <c r="E53" s="47">
        <v>2021</v>
      </c>
      <c r="F53" s="47">
        <v>2022</v>
      </c>
      <c r="G53" s="47">
        <v>2023</v>
      </c>
      <c r="H53" s="47">
        <v>2024</v>
      </c>
      <c r="I53" s="47">
        <v>2025</v>
      </c>
      <c r="J53" s="47">
        <v>2026</v>
      </c>
      <c r="K53" s="47">
        <v>2027</v>
      </c>
      <c r="L53" s="47">
        <v>2028</v>
      </c>
      <c r="M53" s="47">
        <v>2029</v>
      </c>
      <c r="N53" s="47">
        <v>2030</v>
      </c>
      <c r="O53" s="47">
        <v>2031</v>
      </c>
      <c r="P53" s="47">
        <v>2032</v>
      </c>
      <c r="Q53" s="47">
        <v>2033</v>
      </c>
      <c r="R53" s="47">
        <v>2034</v>
      </c>
      <c r="S53" s="47">
        <v>2035</v>
      </c>
      <c r="T53" s="47">
        <v>2036</v>
      </c>
      <c r="U53" s="47">
        <v>2037</v>
      </c>
      <c r="V53" s="47">
        <v>2038</v>
      </c>
      <c r="W53" s="47">
        <v>2039</v>
      </c>
      <c r="X53" s="47">
        <v>2040</v>
      </c>
      <c r="Y53" s="47">
        <v>2041</v>
      </c>
      <c r="Z53" s="47">
        <v>2042</v>
      </c>
      <c r="AA53" s="47">
        <v>2043</v>
      </c>
      <c r="AB53" s="47">
        <v>2044</v>
      </c>
      <c r="AC53" s="47">
        <v>2045</v>
      </c>
      <c r="AD53" s="47">
        <v>2046</v>
      </c>
      <c r="AE53" s="47">
        <v>2047</v>
      </c>
      <c r="AF53" s="47">
        <v>2048</v>
      </c>
      <c r="AG53" s="47">
        <v>2049</v>
      </c>
      <c r="AH53" s="47">
        <v>2050</v>
      </c>
      <c r="AK53" s="56">
        <v>2018</v>
      </c>
      <c r="AL53" s="56">
        <v>2020</v>
      </c>
      <c r="AM53" s="56">
        <v>2030</v>
      </c>
      <c r="AN53" s="56">
        <v>2040</v>
      </c>
      <c r="AO53" s="56">
        <v>2050</v>
      </c>
      <c r="AP53" s="61" t="s">
        <v>92</v>
      </c>
      <c r="AQ53" s="62">
        <v>2022</v>
      </c>
      <c r="AR53" s="62">
        <v>2030</v>
      </c>
      <c r="AS53" s="62">
        <v>2040</v>
      </c>
      <c r="AT53" s="62">
        <v>2050</v>
      </c>
    </row>
    <row r="54" spans="1:49" x14ac:dyDescent="0.3">
      <c r="A54" s="79" t="s">
        <v>64</v>
      </c>
      <c r="B54" s="79" t="s">
        <v>46</v>
      </c>
      <c r="C54" s="50">
        <v>1.9484089999999999E-2</v>
      </c>
      <c r="D54" s="50">
        <v>4.8550629999999997E-2</v>
      </c>
      <c r="E54" s="50">
        <v>9.2513839999999875E-2</v>
      </c>
      <c r="F54" s="50">
        <v>0.14900666999999987</v>
      </c>
      <c r="G54" s="50">
        <v>0.22976027999999979</v>
      </c>
      <c r="H54" s="50">
        <v>0.33245259999999988</v>
      </c>
      <c r="I54" s="50">
        <v>0.46596368999999976</v>
      </c>
      <c r="J54" s="50">
        <v>0.63045818999999992</v>
      </c>
      <c r="K54" s="50">
        <v>0.81742614999999985</v>
      </c>
      <c r="L54" s="50">
        <v>1.02732307</v>
      </c>
      <c r="M54" s="50">
        <v>1.2472489599999994</v>
      </c>
      <c r="N54" s="50">
        <v>1.4774464299999981</v>
      </c>
      <c r="O54" s="50">
        <v>1.7111459499999988</v>
      </c>
      <c r="P54" s="50">
        <v>1.9484050999999971</v>
      </c>
      <c r="Q54" s="50">
        <v>2.18671551</v>
      </c>
      <c r="R54" s="50">
        <v>2.4260006299999999</v>
      </c>
      <c r="S54" s="50">
        <v>2.6652941799999987</v>
      </c>
      <c r="T54" s="50">
        <v>2.9042844599999991</v>
      </c>
      <c r="U54" s="50">
        <v>3.1421942699999992</v>
      </c>
      <c r="V54" s="50">
        <v>3.3781605599999978</v>
      </c>
      <c r="W54" s="50">
        <v>3.6108045699999973</v>
      </c>
      <c r="X54" s="50">
        <v>3.8382515299999977</v>
      </c>
      <c r="Y54" s="50">
        <v>4.0580921399999985</v>
      </c>
      <c r="Z54" s="50">
        <v>4.2679234599999996</v>
      </c>
      <c r="AA54" s="50">
        <v>4.4664024399999995</v>
      </c>
      <c r="AB54" s="50">
        <v>4.6548874599999994</v>
      </c>
      <c r="AC54" s="50">
        <v>4.8383959899999871</v>
      </c>
      <c r="AD54" s="50">
        <v>5.0234308799999994</v>
      </c>
      <c r="AE54" s="50">
        <v>5.2119940299999996</v>
      </c>
      <c r="AF54" s="50">
        <v>5.3973172399999987</v>
      </c>
      <c r="AG54" s="50">
        <v>5.5678768499999993</v>
      </c>
      <c r="AH54" s="50">
        <v>5.714918479999989</v>
      </c>
      <c r="AJ54" s="55" t="s">
        <v>88</v>
      </c>
      <c r="AK54" s="59">
        <f>C54*Large*1000000</f>
        <v>4824.2606785300695</v>
      </c>
      <c r="AL54" s="59">
        <f>F54*Large*1000000</f>
        <v>36894.051450168088</v>
      </c>
      <c r="AM54" s="59">
        <f>N54*Large*1000000</f>
        <v>365815.7356532237</v>
      </c>
      <c r="AN54" s="59">
        <f>X54*Large*1000000</f>
        <v>950351.07775045524</v>
      </c>
      <c r="AO54" s="59">
        <f>AH54*Large*1000000</f>
        <v>1415013.8140436008</v>
      </c>
      <c r="AP54" s="54">
        <v>22668.95</v>
      </c>
      <c r="AQ54" s="54">
        <f>(AL54-AK54)*$AP54</f>
        <v>726988483.51272368</v>
      </c>
      <c r="AR54" s="54">
        <f t="shared" ref="AR54:AR59" si="28">(AM54-AL54)*$AP54</f>
        <v>7456309213.1148577</v>
      </c>
      <c r="AS54" s="54">
        <f t="shared" ref="AS54:AS59" si="29">(AN54-AM54)*$AP54</f>
        <v>13250802443.235037</v>
      </c>
      <c r="AT54" s="54">
        <f t="shared" ref="AT54:AT59" si="30">(AO54-AN54)*$AP54</f>
        <v>10533416335.892502</v>
      </c>
      <c r="AV54" s="64" t="s">
        <v>88</v>
      </c>
    </row>
    <row r="55" spans="1:49" x14ac:dyDescent="0.3">
      <c r="A55" s="80"/>
      <c r="B55" s="80"/>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J55" s="55" t="s">
        <v>48</v>
      </c>
      <c r="AK55" s="59">
        <f>C54*Single*1000000</f>
        <v>8615.8646069957267</v>
      </c>
      <c r="AL55" s="59">
        <f>F54*Single*1000000</f>
        <v>65890.749542795733</v>
      </c>
      <c r="AM55" s="59">
        <f>N54*Single*1000000</f>
        <v>653326.8120281304</v>
      </c>
      <c r="AN55" s="59">
        <f>X54*Single*1000000</f>
        <v>1697274.8283381045</v>
      </c>
      <c r="AO55" s="59">
        <f>AH54*Single*1000000</f>
        <v>2527136.9544945504</v>
      </c>
      <c r="AP55" s="54">
        <v>6408.64</v>
      </c>
      <c r="AQ55" s="54">
        <f t="shared" ref="AQ55:AQ58" si="31">(AL55-AK55)*$AP55</f>
        <v>367054118.5949654</v>
      </c>
      <c r="AR55" s="54">
        <f t="shared" si="28"/>
        <v>3764666247.4860153</v>
      </c>
      <c r="AS55" s="54">
        <f t="shared" si="29"/>
        <v>6690287015.2447529</v>
      </c>
      <c r="AT55" s="54">
        <f t="shared" si="30"/>
        <v>5318287616.1712456</v>
      </c>
      <c r="AV55" s="64" t="s">
        <v>48</v>
      </c>
    </row>
    <row r="56" spans="1:49" x14ac:dyDescent="0.3">
      <c r="A56" s="80"/>
      <c r="B56" s="81"/>
      <c r="C56" s="50"/>
      <c r="D56" s="50"/>
      <c r="E56" s="50"/>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J56" s="55" t="s">
        <v>89</v>
      </c>
      <c r="AK56" s="59">
        <f>C54*Small*1000000</f>
        <v>6043.9647144742012</v>
      </c>
      <c r="AL56" s="59">
        <f>F54*Small*1000000</f>
        <v>46221.869007036039</v>
      </c>
      <c r="AM56" s="59">
        <f>N54*Small*1000000</f>
        <v>458303.88231864391</v>
      </c>
      <c r="AN56" s="59">
        <f>X54*Small*1000000</f>
        <v>1190625.6239114376</v>
      </c>
      <c r="AO56" s="59">
        <f>AH54*Small*1000000</f>
        <v>1772767.7114618374</v>
      </c>
      <c r="AP56" s="54">
        <v>13010.8</v>
      </c>
      <c r="AQ56" s="54">
        <f t="shared" si="31"/>
        <v>522746677.16966355</v>
      </c>
      <c r="AR56" s="54">
        <f t="shared" si="28"/>
        <v>5361516658.7946672</v>
      </c>
      <c r="AS56" s="54">
        <f t="shared" si="29"/>
        <v>9528091715.5155201</v>
      </c>
      <c r="AT56" s="54">
        <f t="shared" si="30"/>
        <v>7574134272.7007418</v>
      </c>
      <c r="AV56" s="64" t="s">
        <v>89</v>
      </c>
    </row>
    <row r="57" spans="1:49" x14ac:dyDescent="0.3">
      <c r="A57" s="80"/>
      <c r="B57" s="79" t="s">
        <v>47</v>
      </c>
      <c r="C57" s="50">
        <v>1.630599999999998E-2</v>
      </c>
      <c r="D57" s="50">
        <v>3.7698629999999976E-2</v>
      </c>
      <c r="E57" s="50">
        <v>6.4873330000000007E-2</v>
      </c>
      <c r="F57" s="50">
        <v>9.6007949999999981E-2</v>
      </c>
      <c r="G57" s="50">
        <v>0.13408743999999995</v>
      </c>
      <c r="H57" s="50">
        <v>0.17836689999999997</v>
      </c>
      <c r="I57" s="50">
        <v>0.23177132999999989</v>
      </c>
      <c r="J57" s="50">
        <v>0.29450744000000001</v>
      </c>
      <c r="K57" s="50">
        <v>0.36404867999999968</v>
      </c>
      <c r="L57" s="50">
        <v>0.44058607999999982</v>
      </c>
      <c r="M57" s="50">
        <v>0.52017798999999998</v>
      </c>
      <c r="N57" s="50">
        <v>0.60291420999999978</v>
      </c>
      <c r="O57" s="50">
        <v>0.6867211999999997</v>
      </c>
      <c r="P57" s="50">
        <v>0.77161894999999969</v>
      </c>
      <c r="Q57" s="50">
        <v>0.85683130999999979</v>
      </c>
      <c r="R57" s="50">
        <v>0.94232717999999882</v>
      </c>
      <c r="S57" s="50">
        <v>1.0305954299999978</v>
      </c>
      <c r="T57" s="50">
        <v>1.121497089999999</v>
      </c>
      <c r="U57" s="50">
        <v>1.2147862899999997</v>
      </c>
      <c r="V57" s="50">
        <v>1.3100510099999989</v>
      </c>
      <c r="W57" s="50">
        <v>1.4066384499999978</v>
      </c>
      <c r="X57" s="50">
        <v>1.5035880599999989</v>
      </c>
      <c r="Y57" s="50">
        <v>1.5969167999999987</v>
      </c>
      <c r="Z57" s="50">
        <v>1.6854155099999988</v>
      </c>
      <c r="AA57" s="50">
        <v>1.7683046</v>
      </c>
      <c r="AB57" s="50">
        <v>1.8460038599999975</v>
      </c>
      <c r="AC57" s="50">
        <v>1.9206719399999979</v>
      </c>
      <c r="AD57" s="50">
        <v>1.9954376999999996</v>
      </c>
      <c r="AE57" s="50">
        <v>2.0719110099999987</v>
      </c>
      <c r="AF57" s="50">
        <v>2.1481981599999993</v>
      </c>
      <c r="AG57" s="50">
        <v>2.2202825800000001</v>
      </c>
      <c r="AH57" s="50">
        <v>2.2850026999999975</v>
      </c>
      <c r="AJ57" s="55" t="s">
        <v>88</v>
      </c>
      <c r="AK57" s="59">
        <f>C57*Large*1000000</f>
        <v>4037.3655954222759</v>
      </c>
      <c r="AL57" s="59">
        <f>F57*Large*1000000</f>
        <v>23771.568393046888</v>
      </c>
      <c r="AM57" s="59">
        <f>N57*Large*1000000</f>
        <v>149281.55822673882</v>
      </c>
      <c r="AN57" s="59">
        <f>X57*Large*1000000</f>
        <v>372288.40323388495</v>
      </c>
      <c r="AO57" s="59">
        <f>AH57*Large*1000000</f>
        <v>565766.66787851159</v>
      </c>
      <c r="AP57" s="54">
        <v>32775.01</v>
      </c>
      <c r="AQ57" s="54">
        <f t="shared" si="31"/>
        <v>646788694.03417456</v>
      </c>
      <c r="AR57" s="54">
        <f t="shared" si="28"/>
        <v>4113591171.8991518</v>
      </c>
      <c r="AS57" s="54">
        <f t="shared" si="29"/>
        <v>7309051575.1776648</v>
      </c>
      <c r="AT57" s="54">
        <f t="shared" si="30"/>
        <v>6341252058.5102854</v>
      </c>
      <c r="AV57" s="64" t="s">
        <v>88</v>
      </c>
    </row>
    <row r="58" spans="1:49" x14ac:dyDescent="0.3">
      <c r="A58" s="80"/>
      <c r="B58" s="80"/>
      <c r="C58" s="50"/>
      <c r="D58" s="50"/>
      <c r="E58" s="50"/>
      <c r="F58" s="50"/>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J58" s="55" t="s">
        <v>48</v>
      </c>
      <c r="AK58" s="59">
        <f>C57*Single*1000000</f>
        <v>7210.5132075284064</v>
      </c>
      <c r="AL58" s="59">
        <f>F57*Single*1000000</f>
        <v>42454.715534326482</v>
      </c>
      <c r="AM58" s="59">
        <f>N57*Single*1000000</f>
        <v>266608.66394036304</v>
      </c>
      <c r="AN58" s="59">
        <f>X57*Single*1000000</f>
        <v>664886.64082620014</v>
      </c>
      <c r="AO58" s="59">
        <f>AH57*Single*1000000</f>
        <v>1010428.1949949756</v>
      </c>
      <c r="AP58" s="54">
        <v>45135.519999999997</v>
      </c>
      <c r="AQ58" s="54">
        <f t="shared" si="31"/>
        <v>1590765399.0052409</v>
      </c>
      <c r="AR58" s="54">
        <f t="shared" si="28"/>
        <v>10117305021.359631</v>
      </c>
      <c r="AS58" s="54">
        <f t="shared" si="29"/>
        <v>17976483591.290237</v>
      </c>
      <c r="AT58" s="54">
        <f t="shared" si="30"/>
        <v>15596197729.015846</v>
      </c>
      <c r="AV58" s="64" t="s">
        <v>48</v>
      </c>
    </row>
    <row r="59" spans="1:49" x14ac:dyDescent="0.3">
      <c r="A59" s="80"/>
      <c r="B59" s="81"/>
      <c r="C59" s="50"/>
      <c r="D59" s="50"/>
      <c r="E59" s="50"/>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J59" s="55" t="s">
        <v>89</v>
      </c>
      <c r="AK59" s="59">
        <f>C57*Small*1000000</f>
        <v>5058.1211970492959</v>
      </c>
      <c r="AL59" s="59">
        <f>F57*Small*1000000</f>
        <v>29781.666072626605</v>
      </c>
      <c r="AM59" s="59">
        <f>N57*Small*1000000</f>
        <v>187023.9878328979</v>
      </c>
      <c r="AN59" s="59">
        <f>X57*Small*1000000</f>
        <v>466413.01593991363</v>
      </c>
      <c r="AO59" s="59">
        <f>AH57*Small*1000000</f>
        <v>708807.8371265101</v>
      </c>
      <c r="AP59" s="34">
        <v>6722.75</v>
      </c>
      <c r="AQ59" s="54">
        <v>41353.43</v>
      </c>
      <c r="AR59" s="54">
        <f t="shared" si="28"/>
        <v>1057100818.6138638</v>
      </c>
      <c r="AS59" s="54">
        <f t="shared" si="29"/>
        <v>1878262588.7064402</v>
      </c>
      <c r="AT59" s="54">
        <f t="shared" si="30"/>
        <v>1629559784.1321914</v>
      </c>
      <c r="AV59" s="64" t="s">
        <v>89</v>
      </c>
    </row>
    <row r="60" spans="1:49" x14ac:dyDescent="0.3">
      <c r="A60" s="80"/>
      <c r="B60" s="79" t="s">
        <v>56</v>
      </c>
      <c r="C60" s="50">
        <v>7.9066050899999976</v>
      </c>
      <c r="D60" s="50">
        <v>8.2157467699999973</v>
      </c>
      <c r="E60" s="50">
        <v>8.1565952499999881</v>
      </c>
      <c r="F60" s="50">
        <v>8.0810043199999875</v>
      </c>
      <c r="G60" s="50">
        <v>7.974258049999988</v>
      </c>
      <c r="H60" s="50">
        <v>7.839423519999988</v>
      </c>
      <c r="I60" s="50">
        <v>7.6646957899999988</v>
      </c>
      <c r="J60" s="50">
        <v>7.4497036999999988</v>
      </c>
      <c r="K60" s="50">
        <v>7.205483919999998</v>
      </c>
      <c r="L60" s="50">
        <v>6.9313900399999993</v>
      </c>
      <c r="M60" s="50">
        <v>6.6442638299999981</v>
      </c>
      <c r="N60" s="50">
        <v>6.3437730199999995</v>
      </c>
      <c r="O60" s="50">
        <v>6.0387608400000001</v>
      </c>
      <c r="P60" s="50">
        <v>5.7291499099999985</v>
      </c>
      <c r="Q60" s="50">
        <v>5.4182248599999978</v>
      </c>
      <c r="R60" s="50">
        <v>5.1060935700000005</v>
      </c>
      <c r="S60" s="50">
        <v>4.7912334599999991</v>
      </c>
      <c r="T60" s="50">
        <v>4.4740954199999985</v>
      </c>
      <c r="U60" s="50">
        <v>4.155702719999999</v>
      </c>
      <c r="V60" s="50">
        <v>3.8373305499999977</v>
      </c>
      <c r="W60" s="50">
        <v>3.5210105900000004</v>
      </c>
      <c r="X60" s="50">
        <v>3.2095783400000002</v>
      </c>
      <c r="Y60" s="50">
        <v>2.9094263199999992</v>
      </c>
      <c r="Z60" s="50">
        <v>2.6241667399999997</v>
      </c>
      <c r="AA60" s="50">
        <v>2.3559224199999989</v>
      </c>
      <c r="AB60" s="50">
        <v>2.1029154299999986</v>
      </c>
      <c r="AC60" s="50">
        <v>1.8579696299999999</v>
      </c>
      <c r="AD60" s="50">
        <v>1.6114535999999997</v>
      </c>
      <c r="AE60" s="50">
        <v>1.359755649999999</v>
      </c>
      <c r="AF60" s="50">
        <v>1.1115379299999988</v>
      </c>
      <c r="AG60" s="50">
        <v>0.88234075999999884</v>
      </c>
      <c r="AH60" s="50">
        <v>0.68408031000000002</v>
      </c>
      <c r="AJ60" s="55" t="s">
        <v>88</v>
      </c>
      <c r="AK60" s="59">
        <f>C60*Large*1000000</f>
        <v>1957675.4180643125</v>
      </c>
      <c r="AL60" s="59">
        <f>F60*Large*1000000</f>
        <v>2000856.6673633491</v>
      </c>
      <c r="AM60" s="59">
        <f>N60*Large*1000000</f>
        <v>1570718.1979710599</v>
      </c>
      <c r="AN60" s="59">
        <f>X60*Large*1000000</f>
        <v>794691.5960829485</v>
      </c>
      <c r="AO60" s="59">
        <f>AH60*Large*1000000</f>
        <v>169378.28456395245</v>
      </c>
      <c r="AP60" s="54">
        <v>3589.66</v>
      </c>
      <c r="AQ60" s="54">
        <f>IF(AL60-AK60&gt;0,(AL60-AK60)*$AP60,0)</f>
        <v>155006003.35877961</v>
      </c>
      <c r="AR60" s="54">
        <f t="shared" ref="AR60:AR62" si="32">IF(AM60-AL60&gt;0,(AM60-AL60)*$AP60,0)</f>
        <v>0</v>
      </c>
      <c r="AS60" s="54">
        <f t="shared" ref="AS60:AS62" si="33">IF(AN60-AM60&gt;0,(AN60-AM60)*$AP60,0)</f>
        <v>0</v>
      </c>
      <c r="AT60" s="54">
        <f t="shared" ref="AT60:AT62" si="34">IF(AO60-AN60&gt;0,(AO60-AN60)*$AP60,0)</f>
        <v>0</v>
      </c>
      <c r="AV60" s="64" t="s">
        <v>88</v>
      </c>
    </row>
    <row r="61" spans="1:49" x14ac:dyDescent="0.3">
      <c r="A61" s="80"/>
      <c r="B61" s="80"/>
      <c r="C61" s="50"/>
      <c r="D61" s="50"/>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J61" s="55" t="s">
        <v>48</v>
      </c>
      <c r="AK61" s="59">
        <f>C60*Single*1000000</f>
        <v>3496300.7744484474</v>
      </c>
      <c r="AL61" s="59">
        <f>F60*Single*1000000</f>
        <v>3573420.1140349624</v>
      </c>
      <c r="AM61" s="59">
        <f>N60*Single*1000000</f>
        <v>2805216.4323728951</v>
      </c>
      <c r="AN61" s="59">
        <f>X60*Single*1000000</f>
        <v>1419275.5434298497</v>
      </c>
      <c r="AO61" s="59">
        <f>AH60*Single*1000000</f>
        <v>302500.31339783716</v>
      </c>
      <c r="AP61" s="54">
        <v>0</v>
      </c>
      <c r="AQ61" s="54">
        <f t="shared" ref="AQ61:AQ62" si="35">IF(AL61-AK61&gt;0,(AL61-AK61)*$AP61,0)</f>
        <v>0</v>
      </c>
      <c r="AR61" s="54">
        <f t="shared" si="32"/>
        <v>0</v>
      </c>
      <c r="AS61" s="54">
        <f t="shared" si="33"/>
        <v>0</v>
      </c>
      <c r="AT61" s="54">
        <f t="shared" si="34"/>
        <v>0</v>
      </c>
      <c r="AV61" s="64" t="s">
        <v>48</v>
      </c>
    </row>
    <row r="62" spans="1:49" x14ac:dyDescent="0.3">
      <c r="A62" s="80"/>
      <c r="B62" s="81"/>
      <c r="C62" s="50"/>
      <c r="D62" s="50"/>
      <c r="E62" s="50"/>
      <c r="F62" s="50"/>
      <c r="G62" s="50"/>
      <c r="H62" s="50"/>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J62" s="55" t="s">
        <v>89</v>
      </c>
      <c r="AK62" s="59">
        <f>C60*Small*1000000</f>
        <v>2452628.8974872371</v>
      </c>
      <c r="AL62" s="59">
        <f>F60*Small*1000000</f>
        <v>2506727.5386016751</v>
      </c>
      <c r="AM62" s="59">
        <f>N60*Small*1000000</f>
        <v>1967838.3896560445</v>
      </c>
      <c r="AN62" s="59">
        <f>X60*Small*1000000</f>
        <v>995611.2004872018</v>
      </c>
      <c r="AO62" s="59">
        <f>AH60*Small*1000000</f>
        <v>212201.7120382103</v>
      </c>
      <c r="AP62" s="54">
        <v>6722.75</v>
      </c>
      <c r="AQ62" s="54">
        <f t="shared" si="35"/>
        <v>363691639.55208772</v>
      </c>
      <c r="AR62" s="54">
        <f t="shared" si="32"/>
        <v>0</v>
      </c>
      <c r="AS62" s="54">
        <f t="shared" si="33"/>
        <v>0</v>
      </c>
      <c r="AT62" s="54">
        <f t="shared" si="34"/>
        <v>0</v>
      </c>
      <c r="AV62" s="64" t="s">
        <v>89</v>
      </c>
    </row>
    <row r="63" spans="1:49" x14ac:dyDescent="0.3">
      <c r="A63" s="81"/>
      <c r="B63" s="49" t="s">
        <v>28</v>
      </c>
      <c r="C63" s="50">
        <v>7.9423951799999974</v>
      </c>
      <c r="D63" s="50">
        <v>8.301996029999998</v>
      </c>
      <c r="E63" s="50">
        <v>8.3139824199999879</v>
      </c>
      <c r="F63" s="50">
        <v>8.3260189399999867</v>
      </c>
      <c r="G63" s="50">
        <v>8.3381057699999879</v>
      </c>
      <c r="H63" s="50">
        <v>8.3502430199999882</v>
      </c>
      <c r="I63" s="50">
        <v>8.3624308099999993</v>
      </c>
      <c r="J63" s="50">
        <v>8.3746693299999997</v>
      </c>
      <c r="K63" s="50">
        <v>8.386958749999998</v>
      </c>
      <c r="L63" s="50">
        <v>8.3992991899999989</v>
      </c>
      <c r="M63" s="50">
        <v>8.4116907799999971</v>
      </c>
      <c r="N63" s="50">
        <v>8.4241336599999972</v>
      </c>
      <c r="O63" s="50">
        <v>8.4366279899999981</v>
      </c>
      <c r="P63" s="50">
        <v>8.449173959999996</v>
      </c>
      <c r="Q63" s="50">
        <v>8.4617716799999982</v>
      </c>
      <c r="R63" s="50">
        <v>8.474421379999999</v>
      </c>
      <c r="S63" s="50">
        <v>8.4871230699999956</v>
      </c>
      <c r="T63" s="50">
        <v>8.4998769699999954</v>
      </c>
      <c r="U63" s="50">
        <v>8.5126832799999974</v>
      </c>
      <c r="V63" s="50">
        <v>8.5255421199999937</v>
      </c>
      <c r="W63" s="50">
        <v>8.5384536099999941</v>
      </c>
      <c r="X63" s="50">
        <v>8.5514179299999959</v>
      </c>
      <c r="Y63" s="50">
        <v>8.5644352599999962</v>
      </c>
      <c r="Z63" s="50">
        <v>8.577505709999997</v>
      </c>
      <c r="AA63" s="50">
        <v>8.5906294599999988</v>
      </c>
      <c r="AB63" s="50">
        <v>8.6038067499999968</v>
      </c>
      <c r="AC63" s="50">
        <v>8.617037559999984</v>
      </c>
      <c r="AD63" s="50">
        <v>8.6303221799999985</v>
      </c>
      <c r="AE63" s="50">
        <v>8.6436606899999973</v>
      </c>
      <c r="AF63" s="50">
        <v>8.6570533299999965</v>
      </c>
      <c r="AG63" s="50">
        <v>8.6705001899999985</v>
      </c>
      <c r="AH63" s="50">
        <v>8.6840014899999876</v>
      </c>
      <c r="AJ63" s="55" t="s">
        <v>28</v>
      </c>
      <c r="AK63" s="60">
        <f>SUM(AK54:AK62)</f>
        <v>7942395.1799999969</v>
      </c>
      <c r="AL63" s="60">
        <f>SUM(AL54:AL62)</f>
        <v>8326018.9399999864</v>
      </c>
      <c r="AM63" s="60">
        <f>SUM(AM54:AM62)</f>
        <v>8424133.6599999964</v>
      </c>
      <c r="AN63" s="60">
        <f>SUM(AN54:AN62)</f>
        <v>8551417.929999996</v>
      </c>
      <c r="AO63" s="60">
        <f>SUM(AO54:AO62)</f>
        <v>8684001.4899999853</v>
      </c>
      <c r="AP63" s="60"/>
      <c r="AQ63" s="33">
        <f>SUM(AQ54:AQ62)</f>
        <v>4373082368.6576347</v>
      </c>
      <c r="AR63" s="33">
        <f t="shared" ref="AR63" si="36">SUM(AR54:AR62)</f>
        <v>31870489131.268185</v>
      </c>
      <c r="AS63" s="33">
        <f t="shared" ref="AS63" si="37">SUM(AS54:AS62)</f>
        <v>56632978929.169655</v>
      </c>
      <c r="AT63" s="33">
        <f t="shared" ref="AT63" si="38">SUM(AT54:AT62)</f>
        <v>46992847796.422813</v>
      </c>
      <c r="AU63" s="33">
        <f>SUM(AR63:AT63)</f>
        <v>135496315856.86066</v>
      </c>
      <c r="AV63" s="33">
        <f>AU63-AU$24</f>
        <v>115097609617.62398</v>
      </c>
      <c r="AW63" t="s">
        <v>28</v>
      </c>
    </row>
    <row r="64" spans="1:49" x14ac:dyDescent="0.3">
      <c r="AV64" s="33">
        <f>AV63/29</f>
        <v>3968883090.2628956</v>
      </c>
      <c r="AW64" t="s">
        <v>95</v>
      </c>
    </row>
    <row r="65" spans="1:51" x14ac:dyDescent="0.3">
      <c r="A65" s="87" t="s">
        <v>71</v>
      </c>
      <c r="B65" s="87"/>
      <c r="C65" s="87"/>
      <c r="D65" s="87"/>
      <c r="E65" s="87"/>
      <c r="F65" s="87"/>
      <c r="G65" s="87"/>
      <c r="H65" s="87"/>
      <c r="I65" s="87"/>
      <c r="J65" s="87"/>
      <c r="K65" s="87"/>
      <c r="L65" s="87"/>
      <c r="M65" s="87"/>
      <c r="N65" s="87"/>
      <c r="O65" s="87"/>
      <c r="P65" s="87"/>
      <c r="Q65" s="87"/>
      <c r="R65" s="87"/>
      <c r="S65" s="87"/>
      <c r="T65" s="87"/>
      <c r="U65" s="87"/>
      <c r="V65" s="87"/>
      <c r="W65" s="87"/>
      <c r="X65" s="87"/>
      <c r="Y65" s="87"/>
      <c r="Z65" s="87"/>
      <c r="AA65" s="87"/>
      <c r="AB65" s="87"/>
      <c r="AC65" s="87"/>
      <c r="AD65" s="87"/>
      <c r="AE65" s="87"/>
      <c r="AF65" s="87"/>
      <c r="AG65" s="87"/>
      <c r="AH65" s="87"/>
    </row>
    <row r="66" spans="1:51" x14ac:dyDescent="0.3">
      <c r="A66" s="47" t="s">
        <v>61</v>
      </c>
      <c r="B66" s="47" t="s">
        <v>66</v>
      </c>
      <c r="C66" s="48">
        <v>2019</v>
      </c>
      <c r="D66" s="47">
        <v>2020</v>
      </c>
      <c r="E66" s="47">
        <v>2021</v>
      </c>
      <c r="F66" s="47">
        <v>2022</v>
      </c>
      <c r="G66" s="47">
        <v>2023</v>
      </c>
      <c r="H66" s="47">
        <v>2024</v>
      </c>
      <c r="I66" s="47">
        <v>2025</v>
      </c>
      <c r="J66" s="47">
        <v>2026</v>
      </c>
      <c r="K66" s="47">
        <v>2027</v>
      </c>
      <c r="L66" s="47">
        <v>2028</v>
      </c>
      <c r="M66" s="47">
        <v>2029</v>
      </c>
      <c r="N66" s="47">
        <v>2030</v>
      </c>
      <c r="O66" s="47">
        <v>2031</v>
      </c>
      <c r="P66" s="47">
        <v>2032</v>
      </c>
      <c r="Q66" s="47">
        <v>2033</v>
      </c>
      <c r="R66" s="47">
        <v>2034</v>
      </c>
      <c r="S66" s="47">
        <v>2035</v>
      </c>
      <c r="T66" s="47">
        <v>2036</v>
      </c>
      <c r="U66" s="47">
        <v>2037</v>
      </c>
      <c r="V66" s="47">
        <v>2038</v>
      </c>
      <c r="W66" s="47">
        <v>2039</v>
      </c>
      <c r="X66" s="47">
        <v>2040</v>
      </c>
      <c r="Y66" s="47">
        <v>2041</v>
      </c>
      <c r="Z66" s="47">
        <v>2042</v>
      </c>
      <c r="AA66" s="47">
        <v>2043</v>
      </c>
      <c r="AB66" s="47">
        <v>2044</v>
      </c>
      <c r="AC66" s="47">
        <v>2045</v>
      </c>
      <c r="AD66" s="47">
        <v>2046</v>
      </c>
      <c r="AE66" s="47">
        <v>2047</v>
      </c>
      <c r="AF66" s="47">
        <v>2048</v>
      </c>
      <c r="AG66" s="47">
        <v>2049</v>
      </c>
      <c r="AH66" s="47">
        <v>2050</v>
      </c>
      <c r="AK66" s="56">
        <v>2018</v>
      </c>
      <c r="AL66" s="56">
        <v>2020</v>
      </c>
      <c r="AM66" s="56">
        <v>2030</v>
      </c>
      <c r="AN66" s="56">
        <v>2040</v>
      </c>
      <c r="AO66" s="56">
        <v>2050</v>
      </c>
      <c r="AP66" s="61" t="s">
        <v>92</v>
      </c>
      <c r="AQ66" s="62">
        <v>2022</v>
      </c>
      <c r="AR66" s="62">
        <v>2030</v>
      </c>
      <c r="AS66" s="62">
        <v>2040</v>
      </c>
      <c r="AT66" s="62">
        <v>2050</v>
      </c>
    </row>
    <row r="67" spans="1:51" x14ac:dyDescent="0.3">
      <c r="A67" s="79" t="s">
        <v>65</v>
      </c>
      <c r="B67" s="79" t="s">
        <v>46</v>
      </c>
      <c r="C67" s="50">
        <v>1.9484089999999999E-2</v>
      </c>
      <c r="D67" s="50">
        <v>4.8550629999999997E-2</v>
      </c>
      <c r="E67" s="50">
        <v>9.2513839999999875E-2</v>
      </c>
      <c r="F67" s="50">
        <v>0.14900666999999987</v>
      </c>
      <c r="G67" s="50">
        <v>0.22976027999999979</v>
      </c>
      <c r="H67" s="50">
        <v>0.33245259999999988</v>
      </c>
      <c r="I67" s="50">
        <v>0.46596368999999976</v>
      </c>
      <c r="J67" s="50">
        <v>0.63045818999999992</v>
      </c>
      <c r="K67" s="50">
        <v>0.81742614999999985</v>
      </c>
      <c r="L67" s="50">
        <v>1.02732307</v>
      </c>
      <c r="M67" s="50">
        <v>1.2472489599999994</v>
      </c>
      <c r="N67" s="50">
        <v>1.4774464299999981</v>
      </c>
      <c r="O67" s="50">
        <v>1.7111459499999988</v>
      </c>
      <c r="P67" s="50">
        <v>1.9484050999999971</v>
      </c>
      <c r="Q67" s="50">
        <v>2.18671551</v>
      </c>
      <c r="R67" s="50">
        <v>2.4260006299999999</v>
      </c>
      <c r="S67" s="50">
        <v>2.6652941799999987</v>
      </c>
      <c r="T67" s="50">
        <v>2.9042844599999991</v>
      </c>
      <c r="U67" s="50">
        <v>3.1421942699999992</v>
      </c>
      <c r="V67" s="50">
        <v>3.3781605599999978</v>
      </c>
      <c r="W67" s="50">
        <v>3.6108045699999973</v>
      </c>
      <c r="X67" s="50">
        <v>3.8382515299999977</v>
      </c>
      <c r="Y67" s="50">
        <v>4.0580921399999985</v>
      </c>
      <c r="Z67" s="50">
        <v>4.2679234599999996</v>
      </c>
      <c r="AA67" s="50">
        <v>4.4664024399999995</v>
      </c>
      <c r="AB67" s="50">
        <v>4.6548874599999994</v>
      </c>
      <c r="AC67" s="50">
        <v>4.8383959899999871</v>
      </c>
      <c r="AD67" s="50">
        <v>5.0234308799999994</v>
      </c>
      <c r="AE67" s="50">
        <v>5.2119940299999996</v>
      </c>
      <c r="AF67" s="50">
        <v>5.3973172399999987</v>
      </c>
      <c r="AG67" s="50">
        <v>5.5678768499999993</v>
      </c>
      <c r="AH67" s="50">
        <v>5.714918479999989</v>
      </c>
      <c r="AI67">
        <f>AH67/AH$76</f>
        <v>0.65809736290130427</v>
      </c>
      <c r="AJ67" s="55" t="s">
        <v>88</v>
      </c>
      <c r="AK67" s="59">
        <f>C67*Large*1000000</f>
        <v>4824.2606785300695</v>
      </c>
      <c r="AL67" s="59">
        <f>F67*Large*1000000</f>
        <v>36894.051450168088</v>
      </c>
      <c r="AM67" s="59">
        <f>N67*Large*1000000</f>
        <v>365815.7356532237</v>
      </c>
      <c r="AN67" s="59">
        <f>X67*Large*1000000</f>
        <v>950351.07775045524</v>
      </c>
      <c r="AO67" s="59">
        <f>AH67*Large*1000000</f>
        <v>1415013.8140436008</v>
      </c>
      <c r="AP67" s="54">
        <v>22668.95</v>
      </c>
      <c r="AQ67" s="54">
        <f>(AL67-AK67)*$AP67</f>
        <v>726988483.51272368</v>
      </c>
      <c r="AR67" s="54">
        <f t="shared" ref="AR67:AR72" si="39">(AM67-AL67)*$AP67</f>
        <v>7456309213.1148577</v>
      </c>
      <c r="AS67" s="54">
        <f t="shared" ref="AS67:AS72" si="40">(AN67-AM67)*$AP67</f>
        <v>13250802443.235037</v>
      </c>
      <c r="AT67" s="54">
        <f t="shared" ref="AT67:AT72" si="41">(AO67-AN67)*$AP67</f>
        <v>10533416335.892502</v>
      </c>
      <c r="AV67" s="64" t="s">
        <v>88</v>
      </c>
    </row>
    <row r="68" spans="1:51" x14ac:dyDescent="0.3">
      <c r="A68" s="80"/>
      <c r="B68" s="8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J68" s="55" t="s">
        <v>48</v>
      </c>
      <c r="AK68" s="59">
        <f>C67*Single*1000000</f>
        <v>8615.8646069957267</v>
      </c>
      <c r="AL68" s="59">
        <f>F67*Single*1000000</f>
        <v>65890.749542795733</v>
      </c>
      <c r="AM68" s="59">
        <f>N67*Single*1000000</f>
        <v>653326.8120281304</v>
      </c>
      <c r="AN68" s="59">
        <f>X67*Single*1000000</f>
        <v>1697274.8283381045</v>
      </c>
      <c r="AO68" s="59">
        <f>AH67*Single*1000000</f>
        <v>2527136.9544945504</v>
      </c>
      <c r="AP68" s="54">
        <v>6408.64</v>
      </c>
      <c r="AQ68" s="54">
        <f t="shared" ref="AQ68:AQ71" si="42">(AL68-AK68)*$AP68</f>
        <v>367054118.5949654</v>
      </c>
      <c r="AR68" s="54">
        <f t="shared" si="39"/>
        <v>3764666247.4860153</v>
      </c>
      <c r="AS68" s="54">
        <f t="shared" si="40"/>
        <v>6690287015.2447529</v>
      </c>
      <c r="AT68" s="54">
        <f t="shared" si="41"/>
        <v>5318287616.1712456</v>
      </c>
      <c r="AV68" s="64" t="s">
        <v>48</v>
      </c>
    </row>
    <row r="69" spans="1:51" x14ac:dyDescent="0.3">
      <c r="A69" s="80"/>
      <c r="B69" s="81"/>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J69" s="55" t="s">
        <v>89</v>
      </c>
      <c r="AK69" s="59">
        <f>C67*Small*1000000</f>
        <v>6043.9647144742012</v>
      </c>
      <c r="AL69" s="59">
        <f>F67*Small*1000000</f>
        <v>46221.869007036039</v>
      </c>
      <c r="AM69" s="59">
        <f>N67*Small*1000000</f>
        <v>458303.88231864391</v>
      </c>
      <c r="AN69" s="59">
        <f>X67*Small*1000000</f>
        <v>1190625.6239114376</v>
      </c>
      <c r="AO69" s="59">
        <f>AH67*Small*1000000</f>
        <v>1772767.7114618374</v>
      </c>
      <c r="AP69" s="54">
        <v>13010.8</v>
      </c>
      <c r="AQ69" s="54">
        <f t="shared" si="42"/>
        <v>522746677.16966355</v>
      </c>
      <c r="AR69" s="54">
        <f t="shared" si="39"/>
        <v>5361516658.7946672</v>
      </c>
      <c r="AS69" s="54">
        <f t="shared" si="40"/>
        <v>9528091715.5155201</v>
      </c>
      <c r="AT69" s="54">
        <f t="shared" si="41"/>
        <v>7574134272.7007418</v>
      </c>
      <c r="AV69" s="64" t="s">
        <v>89</v>
      </c>
    </row>
    <row r="70" spans="1:51" x14ac:dyDescent="0.3">
      <c r="A70" s="80"/>
      <c r="B70" s="79" t="s">
        <v>47</v>
      </c>
      <c r="C70" s="50">
        <v>1.630599999999998E-2</v>
      </c>
      <c r="D70" s="50">
        <v>3.7698629999999976E-2</v>
      </c>
      <c r="E70" s="50">
        <v>6.4873330000000007E-2</v>
      </c>
      <c r="F70" s="50">
        <v>9.6007949999999981E-2</v>
      </c>
      <c r="G70" s="50">
        <v>0.13408743999999995</v>
      </c>
      <c r="H70" s="50">
        <v>0.17836689999999997</v>
      </c>
      <c r="I70" s="50">
        <v>0.23177132999999989</v>
      </c>
      <c r="J70" s="50">
        <v>0.29450744000000001</v>
      </c>
      <c r="K70" s="50">
        <v>0.36404867999999968</v>
      </c>
      <c r="L70" s="50">
        <v>0.44058607999999982</v>
      </c>
      <c r="M70" s="50">
        <v>0.52017798999999998</v>
      </c>
      <c r="N70" s="50">
        <v>0.60291420999999978</v>
      </c>
      <c r="O70" s="50">
        <v>0.6867211999999997</v>
      </c>
      <c r="P70" s="50">
        <v>0.77161894999999969</v>
      </c>
      <c r="Q70" s="50">
        <v>0.85683130999999979</v>
      </c>
      <c r="R70" s="50">
        <v>0.94232717999999882</v>
      </c>
      <c r="S70" s="50">
        <v>1.0305954299999978</v>
      </c>
      <c r="T70" s="50">
        <v>1.121497089999999</v>
      </c>
      <c r="U70" s="50">
        <v>1.2147862899999997</v>
      </c>
      <c r="V70" s="50">
        <v>1.3100510099999989</v>
      </c>
      <c r="W70" s="50">
        <v>1.4066384499999978</v>
      </c>
      <c r="X70" s="50">
        <v>1.5035880599999989</v>
      </c>
      <c r="Y70" s="50">
        <v>1.5969167999999987</v>
      </c>
      <c r="Z70" s="50">
        <v>1.6854155099999988</v>
      </c>
      <c r="AA70" s="50">
        <v>1.7683046</v>
      </c>
      <c r="AB70" s="50">
        <v>1.8460038599999975</v>
      </c>
      <c r="AC70" s="50">
        <v>1.9206719399999979</v>
      </c>
      <c r="AD70" s="50">
        <v>1.9954376999999996</v>
      </c>
      <c r="AE70" s="50">
        <v>2.0719110099999987</v>
      </c>
      <c r="AF70" s="50">
        <v>2.1481981599999993</v>
      </c>
      <c r="AG70" s="50">
        <v>2.2202825800000001</v>
      </c>
      <c r="AH70" s="50">
        <v>2.2850026999999975</v>
      </c>
      <c r="AI70">
        <f>AH70/AH$76</f>
        <v>0.26312785674107486</v>
      </c>
      <c r="AJ70" s="55" t="s">
        <v>88</v>
      </c>
      <c r="AK70" s="59">
        <f>C70*Large*1000000</f>
        <v>4037.3655954222759</v>
      </c>
      <c r="AL70" s="59">
        <f>F70*Large*1000000</f>
        <v>23771.568393046888</v>
      </c>
      <c r="AM70" s="59">
        <f>N70*Large*1000000</f>
        <v>149281.55822673882</v>
      </c>
      <c r="AN70" s="59">
        <f>X70*Large*1000000</f>
        <v>372288.40323388495</v>
      </c>
      <c r="AO70" s="59">
        <f>AH70*Large*1000000</f>
        <v>565766.66787851159</v>
      </c>
      <c r="AP70" s="54">
        <v>32775.01</v>
      </c>
      <c r="AQ70" s="54">
        <f t="shared" si="42"/>
        <v>646788694.03417456</v>
      </c>
      <c r="AR70" s="54">
        <f t="shared" si="39"/>
        <v>4113591171.8991518</v>
      </c>
      <c r="AS70" s="54">
        <f t="shared" si="40"/>
        <v>7309051575.1776648</v>
      </c>
      <c r="AT70" s="54">
        <f t="shared" si="41"/>
        <v>6341252058.5102854</v>
      </c>
      <c r="AV70" s="64" t="s">
        <v>88</v>
      </c>
    </row>
    <row r="71" spans="1:51" x14ac:dyDescent="0.3">
      <c r="A71" s="80"/>
      <c r="B71" s="8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J71" s="55" t="s">
        <v>48</v>
      </c>
      <c r="AK71" s="59">
        <f>C70*Single*1000000</f>
        <v>7210.5132075284064</v>
      </c>
      <c r="AL71" s="59">
        <f>F70*Single*1000000</f>
        <v>42454.715534326482</v>
      </c>
      <c r="AM71" s="59">
        <f>N70*Single*1000000</f>
        <v>266608.66394036304</v>
      </c>
      <c r="AN71" s="59">
        <f>X70*Single*1000000</f>
        <v>664886.64082620014</v>
      </c>
      <c r="AO71" s="59">
        <f>AH70*Single*1000000</f>
        <v>1010428.1949949756</v>
      </c>
      <c r="AP71" s="54">
        <v>45135.519999999997</v>
      </c>
      <c r="AQ71" s="54">
        <f t="shared" si="42"/>
        <v>1590765399.0052409</v>
      </c>
      <c r="AR71" s="54">
        <f t="shared" si="39"/>
        <v>10117305021.359631</v>
      </c>
      <c r="AS71" s="54">
        <f t="shared" si="40"/>
        <v>17976483591.290237</v>
      </c>
      <c r="AT71" s="54">
        <f t="shared" si="41"/>
        <v>15596197729.015846</v>
      </c>
      <c r="AV71" s="64" t="s">
        <v>48</v>
      </c>
    </row>
    <row r="72" spans="1:51" x14ac:dyDescent="0.3">
      <c r="A72" s="80"/>
      <c r="B72" s="81"/>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J72" s="55" t="s">
        <v>89</v>
      </c>
      <c r="AK72" s="59">
        <f>C70*Small*1000000</f>
        <v>5058.1211970492959</v>
      </c>
      <c r="AL72" s="59">
        <f>F70*Small*1000000</f>
        <v>29781.666072626605</v>
      </c>
      <c r="AM72" s="59">
        <f>N70*Small*1000000</f>
        <v>187023.9878328979</v>
      </c>
      <c r="AN72" s="59">
        <f>X70*Small*1000000</f>
        <v>466413.01593991363</v>
      </c>
      <c r="AO72" s="59">
        <f>AH70*Small*1000000</f>
        <v>708807.8371265101</v>
      </c>
      <c r="AP72" s="34">
        <v>6722.75</v>
      </c>
      <c r="AQ72" s="54">
        <v>41353.43</v>
      </c>
      <c r="AR72" s="54">
        <f t="shared" si="39"/>
        <v>1057100818.6138638</v>
      </c>
      <c r="AS72" s="54">
        <f t="shared" si="40"/>
        <v>1878262588.7064402</v>
      </c>
      <c r="AT72" s="54">
        <f t="shared" si="41"/>
        <v>1629559784.1321914</v>
      </c>
      <c r="AV72" s="64" t="s">
        <v>89</v>
      </c>
    </row>
    <row r="73" spans="1:51" x14ac:dyDescent="0.3">
      <c r="A73" s="80"/>
      <c r="B73" s="79" t="s">
        <v>56</v>
      </c>
      <c r="C73" s="50">
        <v>7.9066050899999976</v>
      </c>
      <c r="D73" s="50">
        <v>8.2157467699999973</v>
      </c>
      <c r="E73" s="50">
        <v>8.1565952499999881</v>
      </c>
      <c r="F73" s="50">
        <v>8.0810043199999875</v>
      </c>
      <c r="G73" s="50">
        <v>7.974258049999988</v>
      </c>
      <c r="H73" s="50">
        <v>7.839423519999988</v>
      </c>
      <c r="I73" s="50">
        <v>7.6646957899999988</v>
      </c>
      <c r="J73" s="50">
        <v>7.4497036999999988</v>
      </c>
      <c r="K73" s="50">
        <v>7.205483919999998</v>
      </c>
      <c r="L73" s="50">
        <v>6.9313900399999993</v>
      </c>
      <c r="M73" s="50">
        <v>6.6442638299999981</v>
      </c>
      <c r="N73" s="50">
        <v>6.3437730199999995</v>
      </c>
      <c r="O73" s="50">
        <v>6.0387608400000001</v>
      </c>
      <c r="P73" s="50">
        <v>5.7291499099999985</v>
      </c>
      <c r="Q73" s="50">
        <v>5.4182248599999978</v>
      </c>
      <c r="R73" s="50">
        <v>5.1060935700000005</v>
      </c>
      <c r="S73" s="50">
        <v>4.7912334599999991</v>
      </c>
      <c r="T73" s="50">
        <v>4.4740954199999985</v>
      </c>
      <c r="U73" s="50">
        <v>4.155702719999999</v>
      </c>
      <c r="V73" s="50">
        <v>3.8373305499999977</v>
      </c>
      <c r="W73" s="50">
        <v>3.5210105900000004</v>
      </c>
      <c r="X73" s="50">
        <v>3.2095783400000002</v>
      </c>
      <c r="Y73" s="50">
        <v>2.9094263199999992</v>
      </c>
      <c r="Z73" s="50">
        <v>2.6241667399999997</v>
      </c>
      <c r="AA73" s="50">
        <v>2.3559224199999989</v>
      </c>
      <c r="AB73" s="50">
        <v>2.1029154299999986</v>
      </c>
      <c r="AC73" s="50">
        <v>1.8579696299999999</v>
      </c>
      <c r="AD73" s="50">
        <v>1.6114535999999997</v>
      </c>
      <c r="AE73" s="50">
        <v>1.359755649999999</v>
      </c>
      <c r="AF73" s="50">
        <v>1.1115379299999988</v>
      </c>
      <c r="AG73" s="50">
        <v>0.88234075999999884</v>
      </c>
      <c r="AH73" s="50">
        <v>0.68408031000000002</v>
      </c>
      <c r="AI73">
        <f>AH73/AH$76</f>
        <v>7.8774780357620713E-2</v>
      </c>
      <c r="AJ73" s="55" t="s">
        <v>88</v>
      </c>
      <c r="AK73" s="59">
        <f>C73*Large*1000000</f>
        <v>1957675.4180643125</v>
      </c>
      <c r="AL73" s="59">
        <f>F73*Large*1000000</f>
        <v>2000856.6673633491</v>
      </c>
      <c r="AM73" s="59">
        <f>N73*Large*1000000</f>
        <v>1570718.1979710599</v>
      </c>
      <c r="AN73" s="59">
        <f>X73*Large*1000000</f>
        <v>794691.5960829485</v>
      </c>
      <c r="AO73" s="59">
        <f>AH73*Large*1000000</f>
        <v>169378.28456395245</v>
      </c>
      <c r="AP73" s="54">
        <v>3589.66</v>
      </c>
      <c r="AQ73" s="54">
        <f>IF(AL73-AK73&gt;0,(AL73-AK73)*$AP73,0)</f>
        <v>155006003.35877961</v>
      </c>
      <c r="AR73" s="54">
        <f t="shared" ref="AR73:AR75" si="43">IF(AM73-AL73&gt;0,(AM73-AL73)*$AP73,0)</f>
        <v>0</v>
      </c>
      <c r="AS73" s="54">
        <f t="shared" ref="AS73:AS75" si="44">IF(AN73-AM73&gt;0,(AN73-AM73)*$AP73,0)</f>
        <v>0</v>
      </c>
      <c r="AT73" s="54">
        <f t="shared" ref="AT73:AT75" si="45">IF(AO73-AN73&gt;0,(AO73-AN73)*$AP73,0)</f>
        <v>0</v>
      </c>
      <c r="AV73" s="64" t="s">
        <v>88</v>
      </c>
    </row>
    <row r="74" spans="1:51" x14ac:dyDescent="0.3">
      <c r="A74" s="80"/>
      <c r="B74" s="8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J74" s="55" t="s">
        <v>48</v>
      </c>
      <c r="AK74" s="59">
        <f>C73*Single*1000000</f>
        <v>3496300.7744484474</v>
      </c>
      <c r="AL74" s="59">
        <f>F73*Single*1000000</f>
        <v>3573420.1140349624</v>
      </c>
      <c r="AM74" s="59">
        <f>N73*Single*1000000</f>
        <v>2805216.4323728951</v>
      </c>
      <c r="AN74" s="59">
        <f>X73*Single*1000000</f>
        <v>1419275.5434298497</v>
      </c>
      <c r="AO74" s="59">
        <f>AH73*Single*1000000</f>
        <v>302500.31339783716</v>
      </c>
      <c r="AP74" s="54">
        <v>0</v>
      </c>
      <c r="AQ74" s="54">
        <f t="shared" ref="AQ74:AQ75" si="46">IF(AL74-AK74&gt;0,(AL74-AK74)*$AP74,0)</f>
        <v>0</v>
      </c>
      <c r="AR74" s="54">
        <f t="shared" si="43"/>
        <v>0</v>
      </c>
      <c r="AS74" s="54">
        <f t="shared" si="44"/>
        <v>0</v>
      </c>
      <c r="AT74" s="54">
        <f t="shared" si="45"/>
        <v>0</v>
      </c>
      <c r="AV74" s="64" t="s">
        <v>48</v>
      </c>
    </row>
    <row r="75" spans="1:51" x14ac:dyDescent="0.3">
      <c r="A75" s="80"/>
      <c r="B75" s="81"/>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J75" s="55" t="s">
        <v>89</v>
      </c>
      <c r="AK75" s="59">
        <f>C73*Small*1000000</f>
        <v>2452628.8974872371</v>
      </c>
      <c r="AL75" s="59">
        <f>F73*Small*1000000</f>
        <v>2506727.5386016751</v>
      </c>
      <c r="AM75" s="59">
        <f>N73*Small*1000000</f>
        <v>1967838.3896560445</v>
      </c>
      <c r="AN75" s="59">
        <f>X73*Small*1000000</f>
        <v>995611.2004872018</v>
      </c>
      <c r="AO75" s="59">
        <f>AH73*Small*1000000</f>
        <v>212201.7120382103</v>
      </c>
      <c r="AP75" s="54">
        <v>6722.75</v>
      </c>
      <c r="AQ75" s="54">
        <f t="shared" si="46"/>
        <v>363691639.55208772</v>
      </c>
      <c r="AR75" s="54">
        <f t="shared" si="43"/>
        <v>0</v>
      </c>
      <c r="AS75" s="54">
        <f t="shared" si="44"/>
        <v>0</v>
      </c>
      <c r="AT75" s="54">
        <f t="shared" si="45"/>
        <v>0</v>
      </c>
      <c r="AV75" s="64" t="s">
        <v>89</v>
      </c>
    </row>
    <row r="76" spans="1:51" x14ac:dyDescent="0.3">
      <c r="A76" s="81"/>
      <c r="B76" s="49" t="s">
        <v>28</v>
      </c>
      <c r="C76" s="50">
        <v>7.9423951799999974</v>
      </c>
      <c r="D76" s="50">
        <v>8.301996029999998</v>
      </c>
      <c r="E76" s="50">
        <v>8.3139824199999879</v>
      </c>
      <c r="F76" s="50">
        <v>8.3260189399999867</v>
      </c>
      <c r="G76" s="50">
        <v>8.3381057699999879</v>
      </c>
      <c r="H76" s="50">
        <v>8.3502430199999882</v>
      </c>
      <c r="I76" s="50">
        <v>8.3624308099999993</v>
      </c>
      <c r="J76" s="50">
        <v>8.3746693299999997</v>
      </c>
      <c r="K76" s="50">
        <v>8.386958749999998</v>
      </c>
      <c r="L76" s="50">
        <v>8.3992991899999989</v>
      </c>
      <c r="M76" s="50">
        <v>8.4116907799999971</v>
      </c>
      <c r="N76" s="50">
        <v>8.4241336599999972</v>
      </c>
      <c r="O76" s="50">
        <v>8.4366279899999981</v>
      </c>
      <c r="P76" s="50">
        <v>8.449173959999996</v>
      </c>
      <c r="Q76" s="50">
        <v>8.4617716799999982</v>
      </c>
      <c r="R76" s="50">
        <v>8.474421379999999</v>
      </c>
      <c r="S76" s="50">
        <v>8.4871230699999956</v>
      </c>
      <c r="T76" s="50">
        <v>8.4998769699999954</v>
      </c>
      <c r="U76" s="50">
        <v>8.5126832799999974</v>
      </c>
      <c r="V76" s="50">
        <v>8.5255421199999937</v>
      </c>
      <c r="W76" s="50">
        <v>8.5384536099999941</v>
      </c>
      <c r="X76" s="50">
        <v>8.5514179299999959</v>
      </c>
      <c r="Y76" s="50">
        <v>8.5644352599999962</v>
      </c>
      <c r="Z76" s="50">
        <v>8.577505709999997</v>
      </c>
      <c r="AA76" s="50">
        <v>8.5906294599999988</v>
      </c>
      <c r="AB76" s="50">
        <v>8.6038067499999968</v>
      </c>
      <c r="AC76" s="50">
        <v>8.617037559999984</v>
      </c>
      <c r="AD76" s="50">
        <v>8.6303221799999985</v>
      </c>
      <c r="AE76" s="50">
        <v>8.6436606899999973</v>
      </c>
      <c r="AF76" s="50">
        <v>8.6570533299999965</v>
      </c>
      <c r="AG76" s="50">
        <v>8.6705001899999985</v>
      </c>
      <c r="AH76" s="50">
        <v>8.6840014899999876</v>
      </c>
      <c r="AJ76" s="55" t="s">
        <v>28</v>
      </c>
      <c r="AK76" s="60">
        <f>SUM(AK67:AK75)</f>
        <v>7942395.1799999969</v>
      </c>
      <c r="AL76" s="60">
        <f>SUM(AL67:AL75)</f>
        <v>8326018.9399999864</v>
      </c>
      <c r="AM76" s="60">
        <f>SUM(AM67:AM75)</f>
        <v>8424133.6599999964</v>
      </c>
      <c r="AN76" s="60">
        <f>SUM(AN67:AN75)</f>
        <v>8551417.929999996</v>
      </c>
      <c r="AO76" s="60">
        <f>SUM(AO67:AO75)</f>
        <v>8684001.4899999853</v>
      </c>
      <c r="AP76" s="60"/>
      <c r="AQ76" s="33">
        <f>SUM(AQ67:AQ75)</f>
        <v>4373082368.6576347</v>
      </c>
      <c r="AR76" s="33">
        <f t="shared" ref="AR76" si="47">SUM(AR67:AR75)</f>
        <v>31870489131.268185</v>
      </c>
      <c r="AS76" s="33">
        <f t="shared" ref="AS76" si="48">SUM(AS67:AS75)</f>
        <v>56632978929.169655</v>
      </c>
      <c r="AT76" s="33">
        <f t="shared" ref="AT76" si="49">SUM(AT67:AT75)</f>
        <v>46992847796.422813</v>
      </c>
      <c r="AU76" s="33">
        <f>SUM(AR76:AT76)</f>
        <v>135496315856.86066</v>
      </c>
      <c r="AV76" s="33">
        <f>AU76-AU$24</f>
        <v>115097609617.62398</v>
      </c>
      <c r="AW76" t="s">
        <v>28</v>
      </c>
      <c r="AY76" t="s">
        <v>103</v>
      </c>
    </row>
    <row r="77" spans="1:51" x14ac:dyDescent="0.3">
      <c r="AV77" s="33">
        <f>AV76/29</f>
        <v>3968883090.2628956</v>
      </c>
      <c r="AW77" t="s">
        <v>95</v>
      </c>
      <c r="AY77" s="33">
        <f>AV77+'Furnace Costs'!S14</f>
        <v>8221863669.4266891</v>
      </c>
    </row>
    <row r="79" spans="1:51" x14ac:dyDescent="0.3">
      <c r="AJ79" s="55" t="s">
        <v>44</v>
      </c>
      <c r="AK79" s="57">
        <f>SUM(AK67:AK69)</f>
        <v>19484.089999999997</v>
      </c>
      <c r="AL79" s="57">
        <f t="shared" ref="AL79:AO79" si="50">SUM(AL67:AL69)</f>
        <v>149006.66999999987</v>
      </c>
      <c r="AM79" s="57">
        <f t="shared" si="50"/>
        <v>1477446.4299999981</v>
      </c>
      <c r="AN79" s="57">
        <f t="shared" si="50"/>
        <v>3838251.5299999975</v>
      </c>
      <c r="AO79" s="57">
        <f t="shared" si="50"/>
        <v>5714918.4799999883</v>
      </c>
    </row>
    <row r="80" spans="1:51" x14ac:dyDescent="0.3">
      <c r="AJ80" s="55" t="s">
        <v>45</v>
      </c>
      <c r="AK80" s="57">
        <f>SUM(AK70:AK72)</f>
        <v>16305.999999999978</v>
      </c>
      <c r="AL80" s="57">
        <f t="shared" ref="AL80:AO80" si="51">SUM(AL70:AL72)</f>
        <v>96007.949999999983</v>
      </c>
      <c r="AM80" s="57">
        <f t="shared" si="51"/>
        <v>602914.20999999973</v>
      </c>
      <c r="AN80" s="57">
        <f t="shared" si="51"/>
        <v>1503588.0599999987</v>
      </c>
      <c r="AO80" s="57">
        <f t="shared" si="51"/>
        <v>2285002.6999999974</v>
      </c>
    </row>
    <row r="81" spans="36:41" x14ac:dyDescent="0.3">
      <c r="AJ81" s="55" t="s">
        <v>62</v>
      </c>
      <c r="AK81" s="57">
        <f>SUM(AK73:AK75)</f>
        <v>7906605.0899999971</v>
      </c>
      <c r="AL81" s="57">
        <f t="shared" ref="AL81:AO81" si="52">SUM(AL73:AL75)</f>
        <v>8081004.3199999863</v>
      </c>
      <c r="AM81" s="57">
        <f t="shared" si="52"/>
        <v>6343773.0199999996</v>
      </c>
      <c r="AN81" s="57">
        <f t="shared" si="52"/>
        <v>3209578.34</v>
      </c>
      <c r="AO81" s="57">
        <f t="shared" si="52"/>
        <v>684080.30999999982</v>
      </c>
    </row>
    <row r="82" spans="36:41" x14ac:dyDescent="0.3">
      <c r="AJ82" s="55" t="s">
        <v>44</v>
      </c>
      <c r="AK82" s="58">
        <f>AK79/AK$76</f>
        <v>2.4531755923028757E-3</v>
      </c>
      <c r="AL82" s="58">
        <f t="shared" ref="AL82:AO82" si="53">AL79/AL$76</f>
        <v>1.7896508652429286E-2</v>
      </c>
      <c r="AM82" s="58">
        <f t="shared" si="53"/>
        <v>0.17538259595942815</v>
      </c>
      <c r="AN82" s="58">
        <f t="shared" si="53"/>
        <v>0.44884387143969223</v>
      </c>
      <c r="AO82" s="58">
        <f t="shared" si="53"/>
        <v>0.65809736290130438</v>
      </c>
    </row>
    <row r="83" spans="36:41" x14ac:dyDescent="0.3">
      <c r="AJ83" s="55" t="s">
        <v>45</v>
      </c>
      <c r="AK83" s="58">
        <f t="shared" ref="AK83:AO84" si="54">AK80/AK$76</f>
        <v>2.0530330750930959E-3</v>
      </c>
      <c r="AL83" s="58">
        <f t="shared" si="54"/>
        <v>1.1531075138294142E-2</v>
      </c>
      <c r="AM83" s="58">
        <f t="shared" si="54"/>
        <v>7.1569877014510716E-2</v>
      </c>
      <c r="AN83" s="58">
        <f t="shared" si="54"/>
        <v>0.17582909317589621</v>
      </c>
      <c r="AO83" s="58">
        <f t="shared" si="54"/>
        <v>0.26312785674107492</v>
      </c>
    </row>
    <row r="84" spans="36:41" x14ac:dyDescent="0.3">
      <c r="AJ84" s="55" t="s">
        <v>62</v>
      </c>
      <c r="AK84" s="58">
        <f t="shared" si="54"/>
        <v>0.99549379133260407</v>
      </c>
      <c r="AL84" s="58">
        <f t="shared" si="54"/>
        <v>0.97057241620927659</v>
      </c>
      <c r="AM84" s="58">
        <f t="shared" si="54"/>
        <v>0.75304752702606126</v>
      </c>
      <c r="AN84" s="58">
        <f t="shared" si="54"/>
        <v>0.37532703538441153</v>
      </c>
      <c r="AO84" s="58">
        <f t="shared" si="54"/>
        <v>7.8774780357620713E-2</v>
      </c>
    </row>
  </sheetData>
  <mergeCells count="29">
    <mergeCell ref="AQ8:AS8"/>
    <mergeCell ref="AT8:AV8"/>
    <mergeCell ref="AW8:AY8"/>
    <mergeCell ref="AQ7:AY7"/>
    <mergeCell ref="A13:AH13"/>
    <mergeCell ref="A28:A37"/>
    <mergeCell ref="A41:A50"/>
    <mergeCell ref="A54:A63"/>
    <mergeCell ref="A67:A76"/>
    <mergeCell ref="B15:B17"/>
    <mergeCell ref="B18:B20"/>
    <mergeCell ref="B21:B23"/>
    <mergeCell ref="B28:B30"/>
    <mergeCell ref="B31:B33"/>
    <mergeCell ref="B34:B36"/>
    <mergeCell ref="A26:AH26"/>
    <mergeCell ref="A39:AH39"/>
    <mergeCell ref="A52:AH52"/>
    <mergeCell ref="A65:AH65"/>
    <mergeCell ref="A15:A24"/>
    <mergeCell ref="B67:B69"/>
    <mergeCell ref="B70:B72"/>
    <mergeCell ref="B73:B75"/>
    <mergeCell ref="B41:B43"/>
    <mergeCell ref="B44:B46"/>
    <mergeCell ref="B47:B49"/>
    <mergeCell ref="B54:B56"/>
    <mergeCell ref="B57:B59"/>
    <mergeCell ref="B60:B6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ACEF0-EDA4-44FA-8D69-16F2C13C94FA}">
  <dimension ref="A1:S52"/>
  <sheetViews>
    <sheetView workbookViewId="0">
      <selection activeCell="K3" sqref="K3"/>
    </sheetView>
  </sheetViews>
  <sheetFormatPr defaultRowHeight="14.4" x14ac:dyDescent="0.3"/>
  <cols>
    <col min="1" max="1" width="15.88671875" bestFit="1" customWidth="1"/>
    <col min="2" max="2" width="25.88671875" bestFit="1" customWidth="1"/>
    <col min="3" max="3" width="8.5546875" bestFit="1" customWidth="1"/>
    <col min="4" max="4" width="9" bestFit="1" customWidth="1"/>
    <col min="10" max="10" width="3.44140625" customWidth="1"/>
    <col min="11" max="11" width="10" bestFit="1" customWidth="1"/>
    <col min="12" max="12" width="17.21875" bestFit="1" customWidth="1"/>
    <col min="13" max="13" width="16.5546875" bestFit="1" customWidth="1"/>
    <col min="14" max="15" width="15.5546875" bestFit="1" customWidth="1"/>
    <col min="19" max="19" width="17.21875" bestFit="1" customWidth="1"/>
  </cols>
  <sheetData>
    <row r="1" spans="1:19" x14ac:dyDescent="0.3">
      <c r="A1" s="1" t="s">
        <v>42</v>
      </c>
    </row>
    <row r="2" spans="1:19" x14ac:dyDescent="0.3">
      <c r="A2" s="4"/>
    </row>
    <row r="3" spans="1:19" x14ac:dyDescent="0.3">
      <c r="A3" s="1" t="s">
        <v>185</v>
      </c>
      <c r="K3" s="1" t="s">
        <v>186</v>
      </c>
    </row>
    <row r="4" spans="1:19" x14ac:dyDescent="0.3">
      <c r="A4" t="s">
        <v>74</v>
      </c>
      <c r="B4" s="2" t="s">
        <v>29</v>
      </c>
      <c r="K4" t="s">
        <v>74</v>
      </c>
      <c r="L4" s="2" t="s">
        <v>29</v>
      </c>
    </row>
    <row r="5" spans="1:19" x14ac:dyDescent="0.3">
      <c r="A5" t="s">
        <v>75</v>
      </c>
      <c r="B5" s="2" t="s">
        <v>96</v>
      </c>
      <c r="K5" t="s">
        <v>75</v>
      </c>
      <c r="L5" t="s">
        <v>90</v>
      </c>
    </row>
    <row r="6" spans="1:19" x14ac:dyDescent="0.3">
      <c r="A6" s="2"/>
    </row>
    <row r="7" spans="1:19" x14ac:dyDescent="0.3">
      <c r="A7" s="1" t="s">
        <v>185</v>
      </c>
      <c r="D7" s="86" t="s">
        <v>48</v>
      </c>
      <c r="E7" s="86"/>
      <c r="F7" s="86" t="s">
        <v>49</v>
      </c>
      <c r="G7" s="86"/>
      <c r="H7" s="86" t="s">
        <v>50</v>
      </c>
      <c r="I7" s="86"/>
    </row>
    <row r="8" spans="1:19" x14ac:dyDescent="0.3">
      <c r="D8" s="27" t="s">
        <v>51</v>
      </c>
      <c r="E8" s="27" t="s">
        <v>52</v>
      </c>
      <c r="F8" s="27" t="s">
        <v>51</v>
      </c>
      <c r="G8" s="27" t="s">
        <v>52</v>
      </c>
      <c r="H8" s="27" t="s">
        <v>51</v>
      </c>
      <c r="I8" s="27" t="s">
        <v>52</v>
      </c>
    </row>
    <row r="9" spans="1:19" x14ac:dyDescent="0.3">
      <c r="A9" s="91" t="s">
        <v>97</v>
      </c>
      <c r="B9" s="28" t="s">
        <v>14</v>
      </c>
      <c r="C9" s="92" t="s">
        <v>54</v>
      </c>
      <c r="D9" s="29">
        <v>14678</v>
      </c>
      <c r="E9" s="6"/>
      <c r="F9" s="30">
        <v>13643</v>
      </c>
      <c r="G9" s="6"/>
      <c r="H9" s="30">
        <v>26873</v>
      </c>
      <c r="I9" s="6"/>
    </row>
    <row r="10" spans="1:19" x14ac:dyDescent="0.3">
      <c r="A10" s="91"/>
      <c r="B10" s="28" t="s">
        <v>19</v>
      </c>
      <c r="C10" s="93"/>
      <c r="D10" s="31">
        <v>1140</v>
      </c>
      <c r="E10" s="6"/>
      <c r="F10" s="30">
        <v>1140</v>
      </c>
      <c r="G10" s="6"/>
      <c r="H10" s="30">
        <v>1140</v>
      </c>
      <c r="I10" s="6"/>
      <c r="K10" s="32" t="s">
        <v>28</v>
      </c>
      <c r="L10" s="68">
        <f>SUM(L14:L49)</f>
        <v>96900677225</v>
      </c>
      <c r="M10" s="68">
        <f>SUM(M14:M49)</f>
        <v>202643715508</v>
      </c>
      <c r="N10" s="88">
        <f>SUM(N13:O49)</f>
        <v>123336436795.75</v>
      </c>
      <c r="O10" s="89"/>
    </row>
    <row r="11" spans="1:19" x14ac:dyDescent="0.3">
      <c r="A11" s="91"/>
      <c r="B11" s="28" t="s">
        <v>23</v>
      </c>
      <c r="C11" s="93"/>
      <c r="D11" s="6"/>
      <c r="E11" s="30">
        <v>34082</v>
      </c>
      <c r="F11" s="6"/>
      <c r="G11" s="30">
        <v>25515</v>
      </c>
      <c r="H11" s="6"/>
      <c r="I11" s="30">
        <v>39974</v>
      </c>
      <c r="K11" s="32" t="s">
        <v>95</v>
      </c>
      <c r="L11" s="68">
        <f>L10/29</f>
        <v>3341402662.9310346</v>
      </c>
      <c r="M11" s="68">
        <f>M10/29</f>
        <v>6987714327.8620691</v>
      </c>
      <c r="N11" s="88">
        <f>N10/29</f>
        <v>4252980579.1637931</v>
      </c>
      <c r="O11" s="89"/>
      <c r="P11" t="s">
        <v>102</v>
      </c>
    </row>
    <row r="12" spans="1:19" x14ac:dyDescent="0.3">
      <c r="A12" s="91"/>
      <c r="B12" s="28" t="s">
        <v>58</v>
      </c>
      <c r="C12" s="94"/>
      <c r="D12" s="35">
        <f>SUM(D9:D11)</f>
        <v>15818</v>
      </c>
      <c r="E12" s="35">
        <f t="shared" ref="E12:I12" si="0">SUM(E9:E11)</f>
        <v>34082</v>
      </c>
      <c r="F12" s="35">
        <f t="shared" si="0"/>
        <v>14783</v>
      </c>
      <c r="G12" s="35">
        <f t="shared" si="0"/>
        <v>25515</v>
      </c>
      <c r="H12" s="35">
        <f t="shared" si="0"/>
        <v>28013</v>
      </c>
      <c r="I12" s="35">
        <f t="shared" si="0"/>
        <v>39974</v>
      </c>
      <c r="N12" s="37">
        <v>0.75</v>
      </c>
      <c r="O12" s="37">
        <v>0.25</v>
      </c>
    </row>
    <row r="13" spans="1:19" x14ac:dyDescent="0.3">
      <c r="A13" s="95"/>
      <c r="B13" s="95"/>
      <c r="C13" s="95"/>
      <c r="D13" s="95"/>
      <c r="E13" s="95"/>
      <c r="F13" s="95"/>
      <c r="G13" s="95"/>
      <c r="H13" s="95"/>
      <c r="I13" s="95"/>
      <c r="K13" t="s">
        <v>59</v>
      </c>
      <c r="L13" s="27" t="s">
        <v>51</v>
      </c>
      <c r="M13" s="27" t="s">
        <v>52</v>
      </c>
      <c r="N13" s="27" t="s">
        <v>51</v>
      </c>
      <c r="O13" s="27" t="s">
        <v>52</v>
      </c>
    </row>
    <row r="14" spans="1:19" x14ac:dyDescent="0.3">
      <c r="A14" s="90" t="s">
        <v>48</v>
      </c>
      <c r="B14" s="38" t="s">
        <v>12</v>
      </c>
      <c r="C14" s="39">
        <v>9260</v>
      </c>
      <c r="D14" s="39">
        <f t="shared" ref="D14:E25" si="1">D$12-$C14</f>
        <v>6558</v>
      </c>
      <c r="E14" s="39">
        <f t="shared" si="1"/>
        <v>24822</v>
      </c>
      <c r="F14" s="40"/>
      <c r="G14" s="41"/>
      <c r="H14" s="41"/>
      <c r="I14" s="42"/>
      <c r="K14" s="65">
        <v>357822</v>
      </c>
      <c r="L14" s="35">
        <f>D14*$K14</f>
        <v>2346596676</v>
      </c>
      <c r="M14" s="35">
        <f>E14*$K14</f>
        <v>8881857684</v>
      </c>
      <c r="N14" s="68">
        <f>L14*N$12</f>
        <v>1759947507</v>
      </c>
      <c r="O14" s="68">
        <f>M14*O$12</f>
        <v>2220464421</v>
      </c>
      <c r="S14" s="63">
        <f>N10/29</f>
        <v>4252980579.1637931</v>
      </c>
    </row>
    <row r="15" spans="1:19" x14ac:dyDescent="0.3">
      <c r="A15" s="90"/>
      <c r="B15" s="38" t="s">
        <v>13</v>
      </c>
      <c r="C15" s="39">
        <v>4190</v>
      </c>
      <c r="D15" s="39">
        <f t="shared" si="1"/>
        <v>11628</v>
      </c>
      <c r="E15" s="39">
        <f t="shared" si="1"/>
        <v>29892</v>
      </c>
      <c r="F15" s="40"/>
      <c r="G15" s="41"/>
      <c r="H15" s="41"/>
      <c r="I15" s="42"/>
      <c r="K15" s="65">
        <v>119274</v>
      </c>
      <c r="L15" s="35">
        <f>D15*$K15</f>
        <v>1386918072</v>
      </c>
      <c r="M15" s="35">
        <f>E15*$K15</f>
        <v>3565338408</v>
      </c>
      <c r="N15" s="68">
        <f>L15*N$12</f>
        <v>1040188554</v>
      </c>
      <c r="O15" s="68">
        <f>M15*O$12</f>
        <v>891334602</v>
      </c>
    </row>
    <row r="16" spans="1:19" x14ac:dyDescent="0.3">
      <c r="A16" s="90"/>
      <c r="B16" s="38" t="s">
        <v>15</v>
      </c>
      <c r="C16" s="39">
        <v>11585</v>
      </c>
      <c r="D16" s="39">
        <f t="shared" si="1"/>
        <v>4233</v>
      </c>
      <c r="E16" s="39">
        <f t="shared" si="1"/>
        <v>22497</v>
      </c>
      <c r="F16" s="40"/>
      <c r="G16" s="41"/>
      <c r="H16" s="41"/>
      <c r="I16" s="42"/>
      <c r="K16" s="66"/>
    </row>
    <row r="17" spans="1:15" x14ac:dyDescent="0.3">
      <c r="A17" s="90"/>
      <c r="B17" s="38" t="s">
        <v>16</v>
      </c>
      <c r="C17" s="39">
        <v>6515</v>
      </c>
      <c r="D17" s="39">
        <f t="shared" si="1"/>
        <v>9303</v>
      </c>
      <c r="E17" s="39">
        <f t="shared" si="1"/>
        <v>27567</v>
      </c>
      <c r="F17" s="40"/>
      <c r="G17" s="41"/>
      <c r="H17" s="41"/>
      <c r="I17" s="42"/>
      <c r="K17" s="66"/>
    </row>
    <row r="18" spans="1:15" x14ac:dyDescent="0.3">
      <c r="A18" s="90"/>
      <c r="B18" s="38" t="s">
        <v>17</v>
      </c>
      <c r="C18" s="39">
        <v>8975</v>
      </c>
      <c r="D18" s="39">
        <f t="shared" si="1"/>
        <v>6843</v>
      </c>
      <c r="E18" s="39">
        <f t="shared" si="1"/>
        <v>25107</v>
      </c>
      <c r="F18" s="40"/>
      <c r="G18" s="41"/>
      <c r="H18" s="41"/>
      <c r="I18" s="42"/>
      <c r="K18" s="66"/>
    </row>
    <row r="19" spans="1:15" x14ac:dyDescent="0.3">
      <c r="A19" s="90"/>
      <c r="B19" s="38" t="s">
        <v>18</v>
      </c>
      <c r="C19" s="39">
        <v>3085</v>
      </c>
      <c r="D19" s="39">
        <f t="shared" si="1"/>
        <v>12733</v>
      </c>
      <c r="E19" s="39">
        <f t="shared" si="1"/>
        <v>30997</v>
      </c>
      <c r="F19" s="40"/>
      <c r="G19" s="41"/>
      <c r="H19" s="41"/>
      <c r="I19" s="42"/>
      <c r="K19" s="66"/>
    </row>
    <row r="20" spans="1:15" x14ac:dyDescent="0.3">
      <c r="A20" s="90"/>
      <c r="B20" s="38" t="s">
        <v>20</v>
      </c>
      <c r="C20" s="39">
        <v>7645</v>
      </c>
      <c r="D20" s="39">
        <f t="shared" si="1"/>
        <v>8173</v>
      </c>
      <c r="E20" s="39">
        <f t="shared" si="1"/>
        <v>26437</v>
      </c>
      <c r="F20" s="40"/>
      <c r="G20" s="41"/>
      <c r="H20" s="41"/>
      <c r="I20" s="42"/>
      <c r="K20" s="65">
        <v>948564</v>
      </c>
      <c r="L20" s="35">
        <f t="shared" ref="L20:L21" si="2">D20*$K20</f>
        <v>7752613572</v>
      </c>
      <c r="M20" s="35">
        <f t="shared" ref="M20:M21" si="3">E20*$K20</f>
        <v>25077186468</v>
      </c>
      <c r="N20" s="68">
        <f t="shared" ref="N20:N21" si="4">L20*N$12</f>
        <v>5814460179</v>
      </c>
      <c r="O20" s="68">
        <f t="shared" ref="O20:O21" si="5">M20*O$12</f>
        <v>6269296617</v>
      </c>
    </row>
    <row r="21" spans="1:15" x14ac:dyDescent="0.3">
      <c r="A21" s="90"/>
      <c r="B21" s="38" t="s">
        <v>21</v>
      </c>
      <c r="C21" s="39">
        <v>2705</v>
      </c>
      <c r="D21" s="39">
        <f t="shared" si="1"/>
        <v>13113</v>
      </c>
      <c r="E21" s="39">
        <f t="shared" si="1"/>
        <v>31377</v>
      </c>
      <c r="F21" s="40"/>
      <c r="G21" s="41"/>
      <c r="H21" s="41"/>
      <c r="I21" s="42"/>
      <c r="K21" s="65">
        <v>1688627</v>
      </c>
      <c r="L21" s="35">
        <f t="shared" si="2"/>
        <v>22142965851</v>
      </c>
      <c r="M21" s="35">
        <f t="shared" si="3"/>
        <v>52984049379</v>
      </c>
      <c r="N21" s="68">
        <f t="shared" si="4"/>
        <v>16607224388.25</v>
      </c>
      <c r="O21" s="68">
        <f t="shared" si="5"/>
        <v>13246012344.75</v>
      </c>
    </row>
    <row r="22" spans="1:15" x14ac:dyDescent="0.3">
      <c r="A22" s="90"/>
      <c r="B22" s="38" t="s">
        <v>22</v>
      </c>
      <c r="C22" s="39">
        <v>14678</v>
      </c>
      <c r="D22" s="39">
        <f t="shared" si="1"/>
        <v>1140</v>
      </c>
      <c r="E22" s="39">
        <f t="shared" si="1"/>
        <v>19404</v>
      </c>
      <c r="F22" s="40"/>
      <c r="G22" s="41"/>
      <c r="H22" s="41"/>
      <c r="I22" s="42"/>
      <c r="K22" s="66"/>
    </row>
    <row r="23" spans="1:15" x14ac:dyDescent="0.3">
      <c r="A23" s="90"/>
      <c r="B23" s="38" t="s">
        <v>24</v>
      </c>
      <c r="C23" s="39">
        <v>14678</v>
      </c>
      <c r="D23" s="39">
        <f t="shared" si="1"/>
        <v>1140</v>
      </c>
      <c r="E23" s="39">
        <f t="shared" si="1"/>
        <v>19404</v>
      </c>
      <c r="F23" s="40"/>
      <c r="G23" s="41"/>
      <c r="H23" s="41"/>
      <c r="I23" s="42"/>
      <c r="K23" s="66"/>
    </row>
    <row r="24" spans="1:15" x14ac:dyDescent="0.3">
      <c r="A24" s="90"/>
      <c r="B24" s="38" t="s">
        <v>25</v>
      </c>
      <c r="C24" s="39">
        <v>4190</v>
      </c>
      <c r="D24" s="39">
        <f t="shared" si="1"/>
        <v>11628</v>
      </c>
      <c r="E24" s="39">
        <f t="shared" si="1"/>
        <v>29892</v>
      </c>
      <c r="F24" s="40"/>
      <c r="G24" s="41"/>
      <c r="H24" s="41"/>
      <c r="I24" s="42"/>
      <c r="K24" s="65">
        <v>189739</v>
      </c>
      <c r="L24" s="35">
        <f t="shared" ref="L24:L25" si="6">D24*$K24</f>
        <v>2206285092</v>
      </c>
      <c r="M24" s="35">
        <f t="shared" ref="M24:M25" si="7">E24*$K24</f>
        <v>5671678188</v>
      </c>
      <c r="N24" s="68">
        <f t="shared" ref="N24:N27" si="8">L24*N$12</f>
        <v>1654713819</v>
      </c>
      <c r="O24" s="68">
        <f t="shared" ref="O24:O27" si="9">M24*O$12</f>
        <v>1417919547</v>
      </c>
    </row>
    <row r="25" spans="1:15" x14ac:dyDescent="0.3">
      <c r="A25" s="90"/>
      <c r="B25" s="38" t="s">
        <v>26</v>
      </c>
      <c r="C25" s="39">
        <v>7550</v>
      </c>
      <c r="D25" s="39">
        <f t="shared" si="1"/>
        <v>8268</v>
      </c>
      <c r="E25" s="39">
        <f t="shared" si="1"/>
        <v>26532</v>
      </c>
      <c r="F25" s="40"/>
      <c r="G25" s="41"/>
      <c r="H25" s="41"/>
      <c r="I25" s="42"/>
      <c r="K25" s="65">
        <v>103919</v>
      </c>
      <c r="L25" s="35">
        <f t="shared" si="6"/>
        <v>859202292</v>
      </c>
      <c r="M25" s="35">
        <f t="shared" si="7"/>
        <v>2757178908</v>
      </c>
      <c r="N25" s="68">
        <f t="shared" si="8"/>
        <v>644401719</v>
      </c>
      <c r="O25" s="68">
        <f t="shared" si="9"/>
        <v>689294727</v>
      </c>
    </row>
    <row r="26" spans="1:15" x14ac:dyDescent="0.3">
      <c r="A26" s="85" t="s">
        <v>49</v>
      </c>
      <c r="B26" s="44" t="s">
        <v>12</v>
      </c>
      <c r="C26" s="30">
        <v>9260</v>
      </c>
      <c r="D26" s="45"/>
      <c r="E26" s="31"/>
      <c r="F26" s="30">
        <f t="shared" ref="F26:G37" si="10">F$12-$C26</f>
        <v>5523</v>
      </c>
      <c r="G26" s="30">
        <f t="shared" si="10"/>
        <v>16255</v>
      </c>
      <c r="H26" s="45"/>
      <c r="I26" s="46"/>
      <c r="K26" s="65">
        <v>205521</v>
      </c>
      <c r="L26" s="35">
        <f>F26*$K26</f>
        <v>1135092483</v>
      </c>
      <c r="M26" s="35">
        <f>G26*$K26</f>
        <v>3340743855</v>
      </c>
      <c r="N26" s="68">
        <f t="shared" si="8"/>
        <v>851319362.25</v>
      </c>
      <c r="O26" s="68">
        <f t="shared" si="9"/>
        <v>835185963.75</v>
      </c>
    </row>
    <row r="27" spans="1:15" x14ac:dyDescent="0.3">
      <c r="A27" s="85"/>
      <c r="B27" s="44" t="s">
        <v>13</v>
      </c>
      <c r="C27" s="30">
        <v>4190</v>
      </c>
      <c r="D27" s="45"/>
      <c r="E27" s="31"/>
      <c r="F27" s="30">
        <f t="shared" si="10"/>
        <v>10593</v>
      </c>
      <c r="G27" s="30">
        <f t="shared" si="10"/>
        <v>21325</v>
      </c>
      <c r="H27" s="45"/>
      <c r="I27" s="46"/>
      <c r="K27" s="65">
        <v>68507</v>
      </c>
      <c r="L27" s="35">
        <f>F27*$K27</f>
        <v>725694651</v>
      </c>
      <c r="M27" s="35">
        <f>G27*$K27</f>
        <v>1460911775</v>
      </c>
      <c r="N27" s="68">
        <f t="shared" si="8"/>
        <v>544270988.25</v>
      </c>
      <c r="O27" s="68">
        <f t="shared" si="9"/>
        <v>365227943.75</v>
      </c>
    </row>
    <row r="28" spans="1:15" x14ac:dyDescent="0.3">
      <c r="A28" s="85"/>
      <c r="B28" s="44" t="s">
        <v>15</v>
      </c>
      <c r="C28" s="30">
        <v>11585</v>
      </c>
      <c r="D28" s="45"/>
      <c r="E28" s="31"/>
      <c r="F28" s="30">
        <f t="shared" si="10"/>
        <v>3198</v>
      </c>
      <c r="G28" s="30">
        <f t="shared" si="10"/>
        <v>13930</v>
      </c>
      <c r="H28" s="45"/>
      <c r="I28" s="46"/>
      <c r="K28" s="66"/>
    </row>
    <row r="29" spans="1:15" x14ac:dyDescent="0.3">
      <c r="A29" s="85"/>
      <c r="B29" s="44" t="s">
        <v>16</v>
      </c>
      <c r="C29" s="30">
        <v>6515</v>
      </c>
      <c r="D29" s="45"/>
      <c r="E29" s="31"/>
      <c r="F29" s="30">
        <f t="shared" si="10"/>
        <v>8268</v>
      </c>
      <c r="G29" s="30">
        <f t="shared" si="10"/>
        <v>19000</v>
      </c>
      <c r="H29" s="45"/>
      <c r="I29" s="46"/>
      <c r="K29" s="66"/>
    </row>
    <row r="30" spans="1:15" x14ac:dyDescent="0.3">
      <c r="A30" s="85"/>
      <c r="B30" s="44" t="s">
        <v>17</v>
      </c>
      <c r="C30" s="30">
        <v>8975</v>
      </c>
      <c r="D30" s="45"/>
      <c r="E30" s="31"/>
      <c r="F30" s="30">
        <f t="shared" si="10"/>
        <v>5808</v>
      </c>
      <c r="G30" s="30">
        <f t="shared" si="10"/>
        <v>16540</v>
      </c>
      <c r="H30" s="45"/>
      <c r="I30" s="46"/>
      <c r="K30" s="66"/>
    </row>
    <row r="31" spans="1:15" x14ac:dyDescent="0.3">
      <c r="A31" s="85"/>
      <c r="B31" s="44" t="s">
        <v>18</v>
      </c>
      <c r="C31" s="30">
        <v>3085</v>
      </c>
      <c r="D31" s="45"/>
      <c r="E31" s="31"/>
      <c r="F31" s="30">
        <f t="shared" si="10"/>
        <v>11698</v>
      </c>
      <c r="G31" s="30">
        <f t="shared" si="10"/>
        <v>22430</v>
      </c>
      <c r="H31" s="45"/>
      <c r="I31" s="46"/>
      <c r="K31" s="67"/>
    </row>
    <row r="32" spans="1:15" x14ac:dyDescent="0.3">
      <c r="A32" s="85"/>
      <c r="B32" s="44" t="s">
        <v>20</v>
      </c>
      <c r="C32" s="30">
        <v>7645</v>
      </c>
      <c r="D32" s="45"/>
      <c r="E32" s="31"/>
      <c r="F32" s="30">
        <f t="shared" si="10"/>
        <v>7138</v>
      </c>
      <c r="G32" s="30">
        <f t="shared" si="10"/>
        <v>17870</v>
      </c>
      <c r="H32" s="45"/>
      <c r="I32" s="46"/>
      <c r="K32" s="65">
        <v>617320</v>
      </c>
      <c r="L32" s="35">
        <f>F32*$K32</f>
        <v>4406430160</v>
      </c>
      <c r="M32" s="35">
        <f>G32*$K32</f>
        <v>11031508400</v>
      </c>
      <c r="N32" s="68">
        <f t="shared" ref="N32:N33" si="11">L32*N$12</f>
        <v>3304822620</v>
      </c>
      <c r="O32" s="68">
        <f t="shared" ref="O32:O33" si="12">M32*O$12</f>
        <v>2757877100</v>
      </c>
    </row>
    <row r="33" spans="1:15" x14ac:dyDescent="0.3">
      <c r="A33" s="85"/>
      <c r="B33" s="44" t="s">
        <v>21</v>
      </c>
      <c r="C33" s="30">
        <v>2705</v>
      </c>
      <c r="D33" s="45"/>
      <c r="E33" s="31"/>
      <c r="F33" s="30">
        <f t="shared" si="10"/>
        <v>12078</v>
      </c>
      <c r="G33" s="30">
        <f t="shared" si="10"/>
        <v>22810</v>
      </c>
      <c r="H33" s="45"/>
      <c r="I33" s="46"/>
      <c r="K33" s="65">
        <v>1220988</v>
      </c>
      <c r="L33" s="35">
        <f>F33*$K33</f>
        <v>14747093064</v>
      </c>
      <c r="M33" s="35">
        <f>G33*$K33</f>
        <v>27850736280</v>
      </c>
      <c r="N33" s="68">
        <f t="shared" si="11"/>
        <v>11060319798</v>
      </c>
      <c r="O33" s="68">
        <f t="shared" si="12"/>
        <v>6962684070</v>
      </c>
    </row>
    <row r="34" spans="1:15" x14ac:dyDescent="0.3">
      <c r="A34" s="85"/>
      <c r="B34" s="44" t="s">
        <v>22</v>
      </c>
      <c r="C34" s="30">
        <v>13643</v>
      </c>
      <c r="D34" s="45"/>
      <c r="E34" s="31"/>
      <c r="F34" s="30">
        <f t="shared" si="10"/>
        <v>1140</v>
      </c>
      <c r="G34" s="30">
        <f t="shared" si="10"/>
        <v>11872</v>
      </c>
      <c r="H34" s="45"/>
      <c r="I34" s="46"/>
      <c r="K34" s="66"/>
    </row>
    <row r="35" spans="1:15" x14ac:dyDescent="0.3">
      <c r="A35" s="85"/>
      <c r="B35" s="44" t="s">
        <v>24</v>
      </c>
      <c r="C35" s="30">
        <v>13643</v>
      </c>
      <c r="D35" s="45"/>
      <c r="E35" s="31"/>
      <c r="F35" s="30">
        <f t="shared" si="10"/>
        <v>1140</v>
      </c>
      <c r="G35" s="30">
        <f t="shared" si="10"/>
        <v>11872</v>
      </c>
      <c r="H35" s="45"/>
      <c r="I35" s="46"/>
      <c r="K35" s="66"/>
    </row>
    <row r="36" spans="1:15" x14ac:dyDescent="0.3">
      <c r="A36" s="85"/>
      <c r="B36" s="44" t="s">
        <v>25</v>
      </c>
      <c r="C36" s="30">
        <v>4190</v>
      </c>
      <c r="D36" s="45"/>
      <c r="E36" s="31"/>
      <c r="F36" s="30">
        <f t="shared" si="10"/>
        <v>10593</v>
      </c>
      <c r="G36" s="30">
        <f t="shared" si="10"/>
        <v>21325</v>
      </c>
      <c r="H36" s="45"/>
      <c r="I36" s="46"/>
      <c r="K36" s="65">
        <v>64465</v>
      </c>
      <c r="L36" s="35">
        <f>F36*$K36</f>
        <v>682877745</v>
      </c>
      <c r="M36" s="35">
        <f>G36*$K36</f>
        <v>1374716125</v>
      </c>
      <c r="N36" s="68">
        <f t="shared" ref="N36:N39" si="13">L36*N$12</f>
        <v>512158308.75</v>
      </c>
      <c r="O36" s="68">
        <f t="shared" ref="O36:O39" si="14">M36*O$12</f>
        <v>343679031.25</v>
      </c>
    </row>
    <row r="37" spans="1:15" x14ac:dyDescent="0.3">
      <c r="A37" s="85"/>
      <c r="B37" s="44" t="s">
        <v>26</v>
      </c>
      <c r="C37" s="30">
        <v>7550</v>
      </c>
      <c r="D37" s="45"/>
      <c r="E37" s="31"/>
      <c r="F37" s="30">
        <f t="shared" si="10"/>
        <v>7233</v>
      </c>
      <c r="G37" s="30">
        <f t="shared" si="10"/>
        <v>17965</v>
      </c>
      <c r="H37" s="45"/>
      <c r="I37" s="46"/>
      <c r="K37" s="65">
        <v>33577</v>
      </c>
      <c r="L37" s="35">
        <f>F37*$K37</f>
        <v>242862441</v>
      </c>
      <c r="M37" s="35">
        <f>G37*$K37</f>
        <v>603210805</v>
      </c>
      <c r="N37" s="68">
        <f t="shared" si="13"/>
        <v>182146830.75</v>
      </c>
      <c r="O37" s="68">
        <f t="shared" si="14"/>
        <v>150802701.25</v>
      </c>
    </row>
    <row r="38" spans="1:15" x14ac:dyDescent="0.3">
      <c r="A38" s="90" t="s">
        <v>50</v>
      </c>
      <c r="B38" s="38" t="s">
        <v>12</v>
      </c>
      <c r="C38" s="39">
        <v>9260</v>
      </c>
      <c r="D38" s="40"/>
      <c r="E38" s="41"/>
      <c r="F38" s="41"/>
      <c r="G38" s="42"/>
      <c r="H38" s="39">
        <f t="shared" ref="H38:I49" si="15">H$12-$C38</f>
        <v>18753</v>
      </c>
      <c r="I38" s="39">
        <f t="shared" si="15"/>
        <v>30714</v>
      </c>
      <c r="K38" s="65">
        <v>149095</v>
      </c>
      <c r="L38" s="35">
        <f>H38*$K38</f>
        <v>2795978535</v>
      </c>
      <c r="M38" s="35">
        <f>I38*$K38</f>
        <v>4579303830</v>
      </c>
      <c r="N38" s="68">
        <f t="shared" si="13"/>
        <v>2096983901.25</v>
      </c>
      <c r="O38" s="68">
        <f t="shared" si="14"/>
        <v>1144825957.5</v>
      </c>
    </row>
    <row r="39" spans="1:15" x14ac:dyDescent="0.3">
      <c r="A39" s="90"/>
      <c r="B39" s="38" t="s">
        <v>13</v>
      </c>
      <c r="C39" s="39">
        <v>4190</v>
      </c>
      <c r="D39" s="40"/>
      <c r="E39" s="41"/>
      <c r="F39" s="41"/>
      <c r="G39" s="42"/>
      <c r="H39" s="39">
        <f t="shared" si="15"/>
        <v>23823</v>
      </c>
      <c r="I39" s="39">
        <f t="shared" si="15"/>
        <v>35784</v>
      </c>
      <c r="K39" s="65">
        <v>99624</v>
      </c>
      <c r="L39" s="35">
        <f>H39*$K39</f>
        <v>2373342552</v>
      </c>
      <c r="M39" s="35">
        <f>I39*$K39</f>
        <v>3564945216</v>
      </c>
      <c r="N39" s="68">
        <f t="shared" si="13"/>
        <v>1780006914</v>
      </c>
      <c r="O39" s="68">
        <f t="shared" si="14"/>
        <v>891236304</v>
      </c>
    </row>
    <row r="40" spans="1:15" x14ac:dyDescent="0.3">
      <c r="A40" s="90"/>
      <c r="B40" s="38" t="s">
        <v>15</v>
      </c>
      <c r="C40" s="39">
        <v>11585</v>
      </c>
      <c r="D40" s="40"/>
      <c r="E40" s="41"/>
      <c r="F40" s="41"/>
      <c r="G40" s="42"/>
      <c r="H40" s="39">
        <f t="shared" si="15"/>
        <v>16428</v>
      </c>
      <c r="I40" s="39">
        <f t="shared" si="15"/>
        <v>28389</v>
      </c>
      <c r="K40" s="66"/>
    </row>
    <row r="41" spans="1:15" x14ac:dyDescent="0.3">
      <c r="A41" s="90"/>
      <c r="B41" s="38" t="s">
        <v>16</v>
      </c>
      <c r="C41" s="39">
        <v>6515</v>
      </c>
      <c r="D41" s="40"/>
      <c r="E41" s="41"/>
      <c r="F41" s="41"/>
      <c r="G41" s="42"/>
      <c r="H41" s="39">
        <f t="shared" si="15"/>
        <v>21498</v>
      </c>
      <c r="I41" s="39">
        <f t="shared" si="15"/>
        <v>33459</v>
      </c>
      <c r="K41" s="66"/>
    </row>
    <row r="42" spans="1:15" x14ac:dyDescent="0.3">
      <c r="A42" s="90"/>
      <c r="B42" s="38" t="s">
        <v>17</v>
      </c>
      <c r="C42" s="39">
        <v>8975</v>
      </c>
      <c r="D42" s="40"/>
      <c r="E42" s="41"/>
      <c r="F42" s="41"/>
      <c r="G42" s="42"/>
      <c r="H42" s="39">
        <f t="shared" si="15"/>
        <v>19038</v>
      </c>
      <c r="I42" s="39">
        <f t="shared" si="15"/>
        <v>30999</v>
      </c>
      <c r="K42" s="66"/>
    </row>
    <row r="43" spans="1:15" x14ac:dyDescent="0.3">
      <c r="A43" s="90"/>
      <c r="B43" s="38" t="s">
        <v>18</v>
      </c>
      <c r="C43" s="39">
        <v>3085</v>
      </c>
      <c r="D43" s="40"/>
      <c r="E43" s="41"/>
      <c r="F43" s="41"/>
      <c r="G43" s="42"/>
      <c r="H43" s="39">
        <f t="shared" si="15"/>
        <v>24928</v>
      </c>
      <c r="I43" s="39">
        <f t="shared" si="15"/>
        <v>36889</v>
      </c>
      <c r="K43" s="66"/>
    </row>
    <row r="44" spans="1:15" x14ac:dyDescent="0.3">
      <c r="A44" s="90"/>
      <c r="B44" s="38" t="s">
        <v>20</v>
      </c>
      <c r="C44" s="39">
        <v>7645</v>
      </c>
      <c r="D44" s="40"/>
      <c r="E44" s="41"/>
      <c r="F44" s="41"/>
      <c r="G44" s="42"/>
      <c r="H44" s="39">
        <f t="shared" si="15"/>
        <v>20368</v>
      </c>
      <c r="I44" s="39">
        <f t="shared" si="15"/>
        <v>32329</v>
      </c>
      <c r="K44" s="65">
        <v>473794</v>
      </c>
      <c r="L44" s="35">
        <f>H44*$K44</f>
        <v>9650236192</v>
      </c>
      <c r="M44" s="35">
        <f>I44*$K44</f>
        <v>15317286226</v>
      </c>
      <c r="N44" s="68">
        <f t="shared" ref="N44:N45" si="16">L44*N$12</f>
        <v>7237677144</v>
      </c>
      <c r="O44" s="68">
        <f t="shared" ref="O44:O45" si="17">M44*O$12</f>
        <v>3829321556.5</v>
      </c>
    </row>
    <row r="45" spans="1:15" x14ac:dyDescent="0.3">
      <c r="A45" s="90"/>
      <c r="B45" s="38" t="s">
        <v>21</v>
      </c>
      <c r="C45" s="39">
        <v>2705</v>
      </c>
      <c r="D45" s="40"/>
      <c r="E45" s="41"/>
      <c r="F45" s="41"/>
      <c r="G45" s="42"/>
      <c r="H45" s="39">
        <f t="shared" si="15"/>
        <v>25308</v>
      </c>
      <c r="I45" s="39">
        <f t="shared" si="15"/>
        <v>37269</v>
      </c>
      <c r="K45" s="65">
        <v>873997</v>
      </c>
      <c r="L45" s="35">
        <f>H45*$K45</f>
        <v>22119116076</v>
      </c>
      <c r="M45" s="35">
        <f>I45*$K45</f>
        <v>32572994193</v>
      </c>
      <c r="N45" s="68">
        <f t="shared" si="16"/>
        <v>16589337057</v>
      </c>
      <c r="O45" s="68">
        <f t="shared" si="17"/>
        <v>8143248548.25</v>
      </c>
    </row>
    <row r="46" spans="1:15" x14ac:dyDescent="0.3">
      <c r="A46" s="90"/>
      <c r="B46" s="38" t="s">
        <v>22</v>
      </c>
      <c r="C46" s="39">
        <v>26873</v>
      </c>
      <c r="D46" s="40"/>
      <c r="E46" s="41"/>
      <c r="F46" s="41"/>
      <c r="G46" s="42"/>
      <c r="H46" s="39">
        <f t="shared" si="15"/>
        <v>1140</v>
      </c>
      <c r="I46" s="39">
        <f t="shared" si="15"/>
        <v>13101</v>
      </c>
      <c r="K46" s="66"/>
    </row>
    <row r="47" spans="1:15" x14ac:dyDescent="0.3">
      <c r="A47" s="90"/>
      <c r="B47" s="38" t="s">
        <v>24</v>
      </c>
      <c r="C47" s="39">
        <v>26873</v>
      </c>
      <c r="D47" s="40"/>
      <c r="E47" s="41"/>
      <c r="F47" s="41"/>
      <c r="G47" s="42"/>
      <c r="H47" s="39">
        <f t="shared" si="15"/>
        <v>1140</v>
      </c>
      <c r="I47" s="39">
        <f t="shared" si="15"/>
        <v>13101</v>
      </c>
      <c r="K47" s="66"/>
    </row>
    <row r="48" spans="1:15" x14ac:dyDescent="0.3">
      <c r="A48" s="90"/>
      <c r="B48" s="38" t="s">
        <v>25</v>
      </c>
      <c r="C48" s="39">
        <v>4190</v>
      </c>
      <c r="D48" s="40"/>
      <c r="E48" s="41"/>
      <c r="F48" s="41"/>
      <c r="G48" s="42"/>
      <c r="H48" s="39">
        <f t="shared" si="15"/>
        <v>23823</v>
      </c>
      <c r="I48" s="39">
        <f t="shared" si="15"/>
        <v>35784</v>
      </c>
      <c r="K48" s="65">
        <v>47442</v>
      </c>
      <c r="L48" s="35">
        <f>H48*$K48</f>
        <v>1130210766</v>
      </c>
      <c r="M48" s="35">
        <f>I48*$K48</f>
        <v>1697664528</v>
      </c>
      <c r="N48" s="68">
        <f t="shared" ref="N48:N49" si="18">L48*N$12</f>
        <v>847658074.5</v>
      </c>
      <c r="O48" s="68">
        <f t="shared" ref="O48:O49" si="19">M48*O$12</f>
        <v>424416132</v>
      </c>
    </row>
    <row r="49" spans="1:15" x14ac:dyDescent="0.3">
      <c r="A49" s="90"/>
      <c r="B49" s="38" t="s">
        <v>26</v>
      </c>
      <c r="C49" s="39">
        <v>7550</v>
      </c>
      <c r="D49" s="40"/>
      <c r="E49" s="41"/>
      <c r="F49" s="41"/>
      <c r="G49" s="42"/>
      <c r="H49" s="39">
        <f t="shared" si="15"/>
        <v>20463</v>
      </c>
      <c r="I49" s="39">
        <f t="shared" si="15"/>
        <v>32424</v>
      </c>
      <c r="K49" s="65">
        <v>9635</v>
      </c>
      <c r="L49" s="35">
        <f>H49*$K49</f>
        <v>197161005</v>
      </c>
      <c r="M49" s="35">
        <f>I49*$K49</f>
        <v>312405240</v>
      </c>
      <c r="N49" s="68">
        <f t="shared" si="18"/>
        <v>147870753.75</v>
      </c>
      <c r="O49" s="68">
        <f t="shared" si="19"/>
        <v>78101310</v>
      </c>
    </row>
    <row r="52" spans="1:15" x14ac:dyDescent="0.3">
      <c r="A52" t="s">
        <v>60</v>
      </c>
    </row>
  </sheetData>
  <mergeCells count="11">
    <mergeCell ref="D7:E7"/>
    <mergeCell ref="F7:G7"/>
    <mergeCell ref="H7:I7"/>
    <mergeCell ref="N11:O11"/>
    <mergeCell ref="N10:O10"/>
    <mergeCell ref="A26:A37"/>
    <mergeCell ref="A38:A49"/>
    <mergeCell ref="A9:A12"/>
    <mergeCell ref="C9:C12"/>
    <mergeCell ref="A13:I13"/>
    <mergeCell ref="A14:A2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26DB9-7E77-45F9-9475-1EDF02F87EE1}">
  <dimension ref="A1:G28"/>
  <sheetViews>
    <sheetView tabSelected="1" workbookViewId="0">
      <selection activeCell="D13" sqref="D13"/>
    </sheetView>
  </sheetViews>
  <sheetFormatPr defaultRowHeight="14.4" x14ac:dyDescent="0.3"/>
  <cols>
    <col min="1" max="1" width="15.88671875" bestFit="1" customWidth="1"/>
    <col min="2" max="2" width="25.88671875" bestFit="1" customWidth="1"/>
    <col min="3" max="3" width="8.5546875" bestFit="1" customWidth="1"/>
    <col min="4" max="4" width="9" bestFit="1" customWidth="1"/>
  </cols>
  <sheetData>
    <row r="1" spans="1:7" x14ac:dyDescent="0.3">
      <c r="A1" s="1" t="s">
        <v>99</v>
      </c>
    </row>
    <row r="2" spans="1:7" x14ac:dyDescent="0.3">
      <c r="A2" s="69" t="s">
        <v>43</v>
      </c>
    </row>
    <row r="3" spans="1:7" x14ac:dyDescent="0.3">
      <c r="A3" s="2" t="s">
        <v>100</v>
      </c>
    </row>
    <row r="5" spans="1:7" x14ac:dyDescent="0.3">
      <c r="A5" s="97" t="s">
        <v>101</v>
      </c>
      <c r="B5" s="98"/>
      <c r="C5" s="99"/>
      <c r="D5" s="86" t="s">
        <v>46</v>
      </c>
      <c r="E5" s="86"/>
      <c r="F5" s="86" t="s">
        <v>47</v>
      </c>
      <c r="G5" s="86"/>
    </row>
    <row r="6" spans="1:7" x14ac:dyDescent="0.3">
      <c r="A6" s="100"/>
      <c r="B6" s="101"/>
      <c r="C6" s="102"/>
      <c r="D6" s="27" t="s">
        <v>51</v>
      </c>
      <c r="E6" s="27" t="s">
        <v>52</v>
      </c>
      <c r="F6" s="27" t="s">
        <v>51</v>
      </c>
      <c r="G6" s="27" t="s">
        <v>52</v>
      </c>
    </row>
    <row r="7" spans="1:7" x14ac:dyDescent="0.3">
      <c r="A7" s="103" t="s">
        <v>53</v>
      </c>
      <c r="B7" s="28" t="s">
        <v>14</v>
      </c>
      <c r="C7" s="92" t="s">
        <v>54</v>
      </c>
      <c r="D7" s="70">
        <v>14678</v>
      </c>
      <c r="E7" s="6"/>
      <c r="F7" s="30">
        <v>14678</v>
      </c>
      <c r="G7" s="71"/>
    </row>
    <row r="8" spans="1:7" x14ac:dyDescent="0.3">
      <c r="A8" s="104"/>
      <c r="B8" s="28" t="s">
        <v>19</v>
      </c>
      <c r="C8" s="93"/>
      <c r="D8" s="72">
        <v>1140</v>
      </c>
      <c r="E8" s="6"/>
      <c r="F8" s="30">
        <v>1140</v>
      </c>
      <c r="G8" s="71"/>
    </row>
    <row r="9" spans="1:7" x14ac:dyDescent="0.3">
      <c r="A9" s="104"/>
      <c r="B9" s="28" t="s">
        <v>23</v>
      </c>
      <c r="C9" s="93"/>
      <c r="D9" s="73"/>
      <c r="E9" s="30">
        <v>34082</v>
      </c>
      <c r="F9" s="6"/>
      <c r="G9" s="74">
        <v>34082</v>
      </c>
    </row>
    <row r="10" spans="1:7" x14ac:dyDescent="0.3">
      <c r="A10" s="104"/>
      <c r="B10" s="28" t="s">
        <v>55</v>
      </c>
      <c r="C10" s="93"/>
      <c r="D10" s="72">
        <v>6409</v>
      </c>
      <c r="E10" s="30">
        <v>6409</v>
      </c>
      <c r="F10" s="30">
        <v>45135.519999999997</v>
      </c>
      <c r="G10" s="74">
        <v>45135.519999999997</v>
      </c>
    </row>
    <row r="11" spans="1:7" x14ac:dyDescent="0.3">
      <c r="A11" s="104"/>
      <c r="B11" s="28" t="s">
        <v>56</v>
      </c>
      <c r="C11" s="93"/>
      <c r="D11" s="75">
        <v>0</v>
      </c>
      <c r="E11" s="34">
        <v>0</v>
      </c>
      <c r="F11" s="34">
        <v>0</v>
      </c>
      <c r="G11" s="76">
        <v>0</v>
      </c>
    </row>
    <row r="12" spans="1:7" x14ac:dyDescent="0.3">
      <c r="A12" s="104"/>
      <c r="B12" s="28" t="s">
        <v>57</v>
      </c>
      <c r="C12" s="93"/>
      <c r="D12" s="36">
        <f>D10-D11</f>
        <v>6409</v>
      </c>
      <c r="E12" s="36">
        <f t="shared" ref="E12" si="0">E10-E11</f>
        <v>6409</v>
      </c>
      <c r="F12" s="36">
        <f>F10-F11</f>
        <v>45135.519999999997</v>
      </c>
      <c r="G12" s="36">
        <f t="shared" ref="G12" si="1">G10-G11</f>
        <v>45135.519999999997</v>
      </c>
    </row>
    <row r="13" spans="1:7" x14ac:dyDescent="0.3">
      <c r="A13" s="105"/>
      <c r="B13" s="28" t="s">
        <v>58</v>
      </c>
      <c r="C13" s="94"/>
      <c r="D13" s="36">
        <f>SUM(D7:D9)+D12</f>
        <v>22227</v>
      </c>
      <c r="E13" s="36">
        <f t="shared" ref="E13:G13" si="2">SUM(E7:E9)+E12</f>
        <v>40491</v>
      </c>
      <c r="F13" s="36">
        <f t="shared" si="2"/>
        <v>60953.52</v>
      </c>
      <c r="G13" s="36">
        <f t="shared" si="2"/>
        <v>79217.51999999999</v>
      </c>
    </row>
    <row r="14" spans="1:7" x14ac:dyDescent="0.3">
      <c r="A14" s="106" t="s">
        <v>104</v>
      </c>
      <c r="B14" s="107"/>
      <c r="C14" s="107"/>
      <c r="D14" s="107"/>
      <c r="E14" s="107"/>
      <c r="F14" s="107"/>
      <c r="G14" s="108"/>
    </row>
    <row r="15" spans="1:7" x14ac:dyDescent="0.3">
      <c r="A15" s="109"/>
      <c r="B15" s="110"/>
      <c r="C15" s="110"/>
      <c r="D15" s="110"/>
      <c r="E15" s="110"/>
      <c r="F15" s="110"/>
      <c r="G15" s="111"/>
    </row>
    <row r="16" spans="1:7" x14ac:dyDescent="0.3">
      <c r="A16" s="112"/>
      <c r="B16" s="113"/>
      <c r="C16" s="113"/>
      <c r="D16" s="113"/>
      <c r="E16" s="113"/>
      <c r="F16" s="113"/>
      <c r="G16" s="114"/>
    </row>
    <row r="17" spans="1:7" x14ac:dyDescent="0.3">
      <c r="A17" s="96" t="s">
        <v>48</v>
      </c>
      <c r="B17" s="77" t="s">
        <v>12</v>
      </c>
      <c r="C17" s="78">
        <v>9260</v>
      </c>
      <c r="D17" s="78">
        <f t="shared" ref="D17:G28" si="3">D$13-$C17</f>
        <v>12967</v>
      </c>
      <c r="E17" s="78">
        <f t="shared" si="3"/>
        <v>31231</v>
      </c>
      <c r="F17" s="78">
        <f t="shared" si="3"/>
        <v>51693.52</v>
      </c>
      <c r="G17" s="78">
        <f t="shared" si="3"/>
        <v>69957.51999999999</v>
      </c>
    </row>
    <row r="18" spans="1:7" x14ac:dyDescent="0.3">
      <c r="A18" s="85"/>
      <c r="B18" s="44" t="s">
        <v>13</v>
      </c>
      <c r="C18" s="30">
        <v>4190</v>
      </c>
      <c r="D18" s="30">
        <f t="shared" si="3"/>
        <v>18037</v>
      </c>
      <c r="E18" s="30">
        <f t="shared" si="3"/>
        <v>36301</v>
      </c>
      <c r="F18" s="30">
        <f t="shared" si="3"/>
        <v>56763.519999999997</v>
      </c>
      <c r="G18" s="30">
        <f t="shared" si="3"/>
        <v>75027.51999999999</v>
      </c>
    </row>
    <row r="19" spans="1:7" x14ac:dyDescent="0.3">
      <c r="A19" s="85"/>
      <c r="B19" s="44" t="s">
        <v>15</v>
      </c>
      <c r="C19" s="30">
        <v>11585</v>
      </c>
      <c r="D19" s="30">
        <f t="shared" si="3"/>
        <v>10642</v>
      </c>
      <c r="E19" s="30">
        <f t="shared" si="3"/>
        <v>28906</v>
      </c>
      <c r="F19" s="30">
        <f t="shared" si="3"/>
        <v>49368.52</v>
      </c>
      <c r="G19" s="30">
        <f t="shared" si="3"/>
        <v>67632.51999999999</v>
      </c>
    </row>
    <row r="20" spans="1:7" x14ac:dyDescent="0.3">
      <c r="A20" s="85"/>
      <c r="B20" s="44" t="s">
        <v>16</v>
      </c>
      <c r="C20" s="30">
        <v>6515</v>
      </c>
      <c r="D20" s="30">
        <f t="shared" si="3"/>
        <v>15712</v>
      </c>
      <c r="E20" s="30">
        <f t="shared" si="3"/>
        <v>33976</v>
      </c>
      <c r="F20" s="30">
        <f t="shared" si="3"/>
        <v>54438.52</v>
      </c>
      <c r="G20" s="30">
        <f t="shared" si="3"/>
        <v>72702.51999999999</v>
      </c>
    </row>
    <row r="21" spans="1:7" x14ac:dyDescent="0.3">
      <c r="A21" s="85"/>
      <c r="B21" s="44" t="s">
        <v>17</v>
      </c>
      <c r="C21" s="30">
        <v>8975</v>
      </c>
      <c r="D21" s="30">
        <f t="shared" si="3"/>
        <v>13252</v>
      </c>
      <c r="E21" s="30">
        <f t="shared" si="3"/>
        <v>31516</v>
      </c>
      <c r="F21" s="30">
        <f t="shared" si="3"/>
        <v>51978.52</v>
      </c>
      <c r="G21" s="30">
        <f t="shared" si="3"/>
        <v>70242.51999999999</v>
      </c>
    </row>
    <row r="22" spans="1:7" x14ac:dyDescent="0.3">
      <c r="A22" s="85"/>
      <c r="B22" s="44" t="s">
        <v>18</v>
      </c>
      <c r="C22" s="30">
        <v>3085</v>
      </c>
      <c r="D22" s="30">
        <f t="shared" si="3"/>
        <v>19142</v>
      </c>
      <c r="E22" s="30">
        <f t="shared" si="3"/>
        <v>37406</v>
      </c>
      <c r="F22" s="30">
        <f t="shared" si="3"/>
        <v>57868.52</v>
      </c>
      <c r="G22" s="30">
        <f t="shared" si="3"/>
        <v>76132.51999999999</v>
      </c>
    </row>
    <row r="23" spans="1:7" x14ac:dyDescent="0.3">
      <c r="A23" s="85"/>
      <c r="B23" s="44" t="s">
        <v>20</v>
      </c>
      <c r="C23" s="30">
        <v>7645</v>
      </c>
      <c r="D23" s="30">
        <f t="shared" si="3"/>
        <v>14582</v>
      </c>
      <c r="E23" s="30">
        <f t="shared" si="3"/>
        <v>32846</v>
      </c>
      <c r="F23" s="30">
        <f t="shared" si="3"/>
        <v>53308.52</v>
      </c>
      <c r="G23" s="30">
        <f t="shared" si="3"/>
        <v>71572.51999999999</v>
      </c>
    </row>
    <row r="24" spans="1:7" x14ac:dyDescent="0.3">
      <c r="A24" s="85"/>
      <c r="B24" s="44" t="s">
        <v>21</v>
      </c>
      <c r="C24" s="30">
        <v>2705</v>
      </c>
      <c r="D24" s="30">
        <f t="shared" si="3"/>
        <v>19522</v>
      </c>
      <c r="E24" s="30">
        <f t="shared" si="3"/>
        <v>37786</v>
      </c>
      <c r="F24" s="30">
        <f t="shared" si="3"/>
        <v>58248.52</v>
      </c>
      <c r="G24" s="30">
        <f t="shared" si="3"/>
        <v>76512.51999999999</v>
      </c>
    </row>
    <row r="25" spans="1:7" x14ac:dyDescent="0.3">
      <c r="A25" s="85"/>
      <c r="B25" s="44" t="s">
        <v>22</v>
      </c>
      <c r="C25" s="30">
        <v>14678</v>
      </c>
      <c r="D25" s="30">
        <f t="shared" si="3"/>
        <v>7549</v>
      </c>
      <c r="E25" s="30">
        <f t="shared" si="3"/>
        <v>25813</v>
      </c>
      <c r="F25" s="30">
        <f t="shared" si="3"/>
        <v>46275.519999999997</v>
      </c>
      <c r="G25" s="30">
        <f t="shared" si="3"/>
        <v>64539.51999999999</v>
      </c>
    </row>
    <row r="26" spans="1:7" x14ac:dyDescent="0.3">
      <c r="A26" s="85"/>
      <c r="B26" s="44" t="s">
        <v>24</v>
      </c>
      <c r="C26" s="30">
        <v>14678</v>
      </c>
      <c r="D26" s="30">
        <f t="shared" si="3"/>
        <v>7549</v>
      </c>
      <c r="E26" s="30">
        <f t="shared" si="3"/>
        <v>25813</v>
      </c>
      <c r="F26" s="30">
        <f t="shared" si="3"/>
        <v>46275.519999999997</v>
      </c>
      <c r="G26" s="30">
        <f t="shared" si="3"/>
        <v>64539.51999999999</v>
      </c>
    </row>
    <row r="27" spans="1:7" x14ac:dyDescent="0.3">
      <c r="A27" s="85"/>
      <c r="B27" s="44" t="s">
        <v>25</v>
      </c>
      <c r="C27" s="30">
        <v>4190</v>
      </c>
      <c r="D27" s="30">
        <f t="shared" si="3"/>
        <v>18037</v>
      </c>
      <c r="E27" s="30">
        <f t="shared" si="3"/>
        <v>36301</v>
      </c>
      <c r="F27" s="30">
        <f t="shared" si="3"/>
        <v>56763.519999999997</v>
      </c>
      <c r="G27" s="30">
        <f t="shared" si="3"/>
        <v>75027.51999999999</v>
      </c>
    </row>
    <row r="28" spans="1:7" x14ac:dyDescent="0.3">
      <c r="A28" s="85"/>
      <c r="B28" s="44" t="s">
        <v>26</v>
      </c>
      <c r="C28" s="30">
        <v>7550</v>
      </c>
      <c r="D28" s="30">
        <f t="shared" si="3"/>
        <v>14677</v>
      </c>
      <c r="E28" s="30">
        <f t="shared" si="3"/>
        <v>32941</v>
      </c>
      <c r="F28" s="30">
        <f t="shared" si="3"/>
        <v>53403.519999999997</v>
      </c>
      <c r="G28" s="30">
        <f t="shared" si="3"/>
        <v>71667.51999999999</v>
      </c>
    </row>
  </sheetData>
  <mergeCells count="7">
    <mergeCell ref="A17:A28"/>
    <mergeCell ref="A5:C6"/>
    <mergeCell ref="D5:E5"/>
    <mergeCell ref="F5:G5"/>
    <mergeCell ref="A7:A13"/>
    <mergeCell ref="C7:C13"/>
    <mergeCell ref="A14:G16"/>
  </mergeCells>
  <hyperlinks>
    <hyperlink ref="A2" r:id="rId1" xr:uid="{A3E10A78-E55E-41EE-BBA8-E7AEAC4CA38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Emissions</vt:lpstr>
      <vt:lpstr>2018 Stocks</vt:lpstr>
      <vt:lpstr>Bldg Shell Costs</vt:lpstr>
      <vt:lpstr>Furnace Costs</vt:lpstr>
      <vt:lpstr>Single Family Cost</vt:lpstr>
      <vt:lpstr>Gross_Total</vt:lpstr>
      <vt:lpstr>Large</vt:lpstr>
      <vt:lpstr>Single</vt:lpstr>
      <vt:lpstr>Small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Roger Caiazza</dc:creator>
  <cp:lastModifiedBy>Roger Caiazza</cp:lastModifiedBy>
  <dcterms:created xsi:type="dcterms:W3CDTF">2022-05-01T13:12:24Z</dcterms:created>
  <dcterms:modified xsi:type="dcterms:W3CDTF">2022-05-04T17:13:44Z</dcterms:modified>
</cp:coreProperties>
</file>