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ger\Documents\0Climate Act\2 Scoping Plan Comments\"/>
    </mc:Choice>
  </mc:AlternateContent>
  <xr:revisionPtr revIDLastSave="0" documentId="8_{A9545662-2D24-43EE-8CDB-EBC1A20ACA74}" xr6:coauthVersionLast="47" xr6:coauthVersionMax="47" xr10:uidLastSave="{00000000-0000-0000-0000-000000000000}"/>
  <bookViews>
    <workbookView xWindow="-108" yWindow="-108" windowWidth="23256" windowHeight="12576" activeTab="5" xr2:uid="{71449D5A-F328-412F-BA6C-2D52E63FA3C7}"/>
  </bookViews>
  <sheets>
    <sheet name="EIA" sheetId="2" r:id="rId1"/>
    <sheet name="Compare Costs" sheetId="8" r:id="rId2"/>
    <sheet name="Costs" sheetId="1" r:id="rId3"/>
    <sheet name="Electrolysis Costs" sheetId="6" r:id="rId4"/>
    <sheet name="NYISO" sheetId="4" r:id="rId5"/>
    <sheet name="Summary" sheetId="3" r:id="rId6"/>
    <sheet name="Sheet5" sheetId="5" state="hidden" r:id="rId7"/>
    <sheet name="Retirement" sheetId="7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L18" i="8" l="1"/>
  <c r="K18" i="8"/>
  <c r="L16" i="8"/>
  <c r="K16" i="8"/>
  <c r="L15" i="8"/>
  <c r="K15" i="8"/>
  <c r="L14" i="8"/>
  <c r="K14" i="8"/>
  <c r="L13" i="8"/>
  <c r="K13" i="8"/>
  <c r="K8" i="8"/>
  <c r="L8" i="8"/>
  <c r="K9" i="8"/>
  <c r="L9" i="8"/>
  <c r="L7" i="8"/>
  <c r="K7" i="8"/>
  <c r="S21" i="2" l="1"/>
  <c r="R35" i="1"/>
  <c r="N34" i="1"/>
  <c r="N17" i="1"/>
  <c r="R18" i="1" s="1"/>
  <c r="N27" i="4"/>
  <c r="N25" i="4"/>
  <c r="N24" i="4"/>
  <c r="M27" i="4"/>
  <c r="M25" i="4"/>
  <c r="M24" i="4"/>
  <c r="M28" i="4"/>
  <c r="G44" i="3" l="1"/>
  <c r="F44" i="3"/>
  <c r="E44" i="3"/>
  <c r="C44" i="3"/>
  <c r="L36" i="7"/>
  <c r="L35" i="7"/>
  <c r="L34" i="7"/>
  <c r="L33" i="7"/>
  <c r="L32" i="7"/>
  <c r="L37" i="7" s="1"/>
  <c r="L27" i="7"/>
  <c r="L26" i="7"/>
  <c r="L25" i="7"/>
  <c r="L24" i="7"/>
  <c r="L23" i="7"/>
  <c r="L28" i="7" s="1"/>
  <c r="L18" i="7"/>
  <c r="L17" i="7"/>
  <c r="L16" i="7"/>
  <c r="L15" i="7"/>
  <c r="L14" i="7"/>
  <c r="L19" i="7" s="1"/>
  <c r="H36" i="7"/>
  <c r="H35" i="7"/>
  <c r="H34" i="7"/>
  <c r="H33" i="7"/>
  <c r="H32" i="7"/>
  <c r="H27" i="7"/>
  <c r="H26" i="7"/>
  <c r="H25" i="7"/>
  <c r="H24" i="7"/>
  <c r="H23" i="7"/>
  <c r="H15" i="7"/>
  <c r="H16" i="7"/>
  <c r="H17" i="7"/>
  <c r="H18" i="7"/>
  <c r="H14" i="7"/>
  <c r="L10" i="7"/>
  <c r="L6" i="7"/>
  <c r="L7" i="7"/>
  <c r="L8" i="7"/>
  <c r="L9" i="7"/>
  <c r="L5" i="7"/>
  <c r="I7" i="7"/>
  <c r="I5" i="7"/>
  <c r="H5" i="7"/>
  <c r="G36" i="7"/>
  <c r="I36" i="7" s="1"/>
  <c r="G35" i="7"/>
  <c r="I35" i="7" s="1"/>
  <c r="G34" i="7"/>
  <c r="G33" i="7"/>
  <c r="G32" i="7"/>
  <c r="I32" i="7" s="1"/>
  <c r="G27" i="7"/>
  <c r="I27" i="7" s="1"/>
  <c r="G26" i="7"/>
  <c r="I26" i="7" s="1"/>
  <c r="G25" i="7"/>
  <c r="I25" i="7" s="1"/>
  <c r="G24" i="7"/>
  <c r="I24" i="7" s="1"/>
  <c r="G23" i="7"/>
  <c r="I23" i="7" s="1"/>
  <c r="I28" i="7" s="1"/>
  <c r="G43" i="3" s="1"/>
  <c r="G18" i="7"/>
  <c r="G17" i="7"/>
  <c r="I17" i="7" s="1"/>
  <c r="G16" i="7"/>
  <c r="I16" i="7" s="1"/>
  <c r="G15" i="7"/>
  <c r="I15" i="7" s="1"/>
  <c r="G14" i="7"/>
  <c r="I14" i="7" s="1"/>
  <c r="G6" i="7"/>
  <c r="I6" i="7" s="1"/>
  <c r="G7" i="7"/>
  <c r="G8" i="7"/>
  <c r="I8" i="7" s="1"/>
  <c r="G9" i="7"/>
  <c r="I9" i="7" s="1"/>
  <c r="G5" i="7"/>
  <c r="I33" i="7" l="1"/>
  <c r="I37" i="7" s="1"/>
  <c r="C43" i="3" s="1"/>
  <c r="I34" i="7"/>
  <c r="I18" i="7"/>
  <c r="I19" i="7" s="1"/>
  <c r="F43" i="3" s="1"/>
  <c r="I10" i="7"/>
  <c r="E43" i="3" s="1"/>
  <c r="S38" i="3"/>
  <c r="P38" i="3"/>
  <c r="Q38" i="3"/>
  <c r="R38" i="3"/>
  <c r="O38" i="3"/>
  <c r="O24" i="3"/>
  <c r="P24" i="3"/>
  <c r="Q24" i="3"/>
  <c r="R24" i="3"/>
  <c r="O25" i="3"/>
  <c r="P25" i="3"/>
  <c r="Q25" i="3"/>
  <c r="R25" i="3"/>
  <c r="O27" i="3"/>
  <c r="P27" i="3"/>
  <c r="Q27" i="3"/>
  <c r="R27" i="3"/>
  <c r="O28" i="3"/>
  <c r="P28" i="3"/>
  <c r="Q28" i="3"/>
  <c r="R28" i="3"/>
  <c r="N36" i="1" l="1"/>
  <c r="F26" i="6"/>
  <c r="G26" i="6" s="1"/>
  <c r="H26" i="6" s="1"/>
  <c r="I26" i="6" s="1"/>
  <c r="I22" i="6"/>
  <c r="H22" i="6"/>
  <c r="G22" i="6"/>
  <c r="F22" i="6"/>
  <c r="E22" i="6"/>
  <c r="F15" i="6"/>
  <c r="G15" i="6" s="1"/>
  <c r="H15" i="6" s="1"/>
  <c r="I15" i="6" s="1"/>
  <c r="I12" i="6"/>
  <c r="H12" i="6"/>
  <c r="G12" i="6"/>
  <c r="F12" i="6"/>
  <c r="E12" i="6"/>
  <c r="B8" i="6"/>
  <c r="F32" i="6" s="1"/>
  <c r="F5" i="6"/>
  <c r="G5" i="6" s="1"/>
  <c r="H5" i="6" s="1"/>
  <c r="I5" i="6" s="1"/>
  <c r="A46" i="6"/>
  <c r="A47" i="6" s="1"/>
  <c r="A42" i="6"/>
  <c r="K34" i="3"/>
  <c r="K33" i="3"/>
  <c r="K32" i="3"/>
  <c r="K23" i="3"/>
  <c r="K25" i="3"/>
  <c r="K26" i="3"/>
  <c r="K27" i="3"/>
  <c r="K28" i="3"/>
  <c r="K35" i="3"/>
  <c r="K36" i="3"/>
  <c r="K15" i="3"/>
  <c r="K16" i="3"/>
  <c r="P15" i="4"/>
  <c r="P11" i="4"/>
  <c r="P10" i="4"/>
  <c r="P8" i="4"/>
  <c r="O15" i="4"/>
  <c r="N10" i="4"/>
  <c r="O8" i="4"/>
  <c r="N9" i="4"/>
  <c r="E3" i="5"/>
  <c r="N15" i="4"/>
  <c r="I17" i="3"/>
  <c r="I18" i="3" s="1"/>
  <c r="I14" i="3"/>
  <c r="K14" i="3" s="1"/>
  <c r="I11" i="3"/>
  <c r="I10" i="3"/>
  <c r="I9" i="3"/>
  <c r="I8" i="3"/>
  <c r="I7" i="3"/>
  <c r="I5" i="3"/>
  <c r="C6" i="3"/>
  <c r="D6" i="3"/>
  <c r="E6" i="3"/>
  <c r="F6" i="3"/>
  <c r="G6" i="3"/>
  <c r="C7" i="3"/>
  <c r="D7" i="3"/>
  <c r="E7" i="3"/>
  <c r="F7" i="3"/>
  <c r="G7" i="3"/>
  <c r="C8" i="3"/>
  <c r="D8" i="3"/>
  <c r="E8" i="3"/>
  <c r="F8" i="3"/>
  <c r="G8" i="3"/>
  <c r="C9" i="3"/>
  <c r="D9" i="3"/>
  <c r="E9" i="3"/>
  <c r="F9" i="3"/>
  <c r="G9" i="3"/>
  <c r="C10" i="3"/>
  <c r="D10" i="3"/>
  <c r="E10" i="3"/>
  <c r="F10" i="3"/>
  <c r="G10" i="3"/>
  <c r="C11" i="3"/>
  <c r="D11" i="3"/>
  <c r="E11" i="3"/>
  <c r="F11" i="3"/>
  <c r="G11" i="3"/>
  <c r="C12" i="3"/>
  <c r="D12" i="3"/>
  <c r="E12" i="3"/>
  <c r="F12" i="3"/>
  <c r="G12" i="3"/>
  <c r="C13" i="3"/>
  <c r="D13" i="3"/>
  <c r="E13" i="3"/>
  <c r="F13" i="3"/>
  <c r="G13" i="3"/>
  <c r="C14" i="3"/>
  <c r="D14" i="3"/>
  <c r="E14" i="3"/>
  <c r="F14" i="3"/>
  <c r="G14" i="3"/>
  <c r="C15" i="3"/>
  <c r="D15" i="3"/>
  <c r="E15" i="3"/>
  <c r="F15" i="3"/>
  <c r="G15" i="3"/>
  <c r="C16" i="3"/>
  <c r="D16" i="3"/>
  <c r="E16" i="3"/>
  <c r="F16" i="3"/>
  <c r="G16" i="3"/>
  <c r="C17" i="3"/>
  <c r="D17" i="3"/>
  <c r="E17" i="3"/>
  <c r="F17" i="3"/>
  <c r="G17" i="3"/>
  <c r="C18" i="3"/>
  <c r="D18" i="3"/>
  <c r="E18" i="3"/>
  <c r="F18" i="3"/>
  <c r="G18" i="3"/>
  <c r="C19" i="3"/>
  <c r="D19" i="3"/>
  <c r="E19" i="3"/>
  <c r="F19" i="3"/>
  <c r="G19" i="3"/>
  <c r="D5" i="3"/>
  <c r="E5" i="3"/>
  <c r="F5" i="3"/>
  <c r="G5" i="3"/>
  <c r="C5" i="3"/>
  <c r="V40" i="1"/>
  <c r="W40" i="1"/>
  <c r="X40" i="1"/>
  <c r="Y40" i="1"/>
  <c r="Z40" i="1"/>
  <c r="V41" i="1"/>
  <c r="W41" i="1"/>
  <c r="X41" i="1"/>
  <c r="Y41" i="1"/>
  <c r="Z41" i="1"/>
  <c r="V42" i="1"/>
  <c r="W42" i="1"/>
  <c r="X42" i="1"/>
  <c r="Y42" i="1"/>
  <c r="Z42" i="1"/>
  <c r="V43" i="1"/>
  <c r="W43" i="1"/>
  <c r="X43" i="1"/>
  <c r="Y43" i="1"/>
  <c r="Z43" i="1"/>
  <c r="V44" i="1"/>
  <c r="W44" i="1"/>
  <c r="X44" i="1"/>
  <c r="Y44" i="1"/>
  <c r="Z44" i="1"/>
  <c r="V45" i="1"/>
  <c r="W45" i="1"/>
  <c r="X45" i="1"/>
  <c r="Y45" i="1"/>
  <c r="Z45" i="1"/>
  <c r="V46" i="1"/>
  <c r="W46" i="1"/>
  <c r="X46" i="1"/>
  <c r="Y46" i="1"/>
  <c r="Z46" i="1"/>
  <c r="V47" i="1"/>
  <c r="W47" i="1"/>
  <c r="X47" i="1"/>
  <c r="Y47" i="1"/>
  <c r="Z47" i="1"/>
  <c r="V48" i="1"/>
  <c r="W48" i="1"/>
  <c r="X48" i="1"/>
  <c r="Y48" i="1"/>
  <c r="Z48" i="1"/>
  <c r="V49" i="1"/>
  <c r="W49" i="1"/>
  <c r="X49" i="1"/>
  <c r="Y49" i="1"/>
  <c r="Z49" i="1"/>
  <c r="V50" i="1"/>
  <c r="W50" i="1"/>
  <c r="X50" i="1"/>
  <c r="Y50" i="1"/>
  <c r="Z50" i="1"/>
  <c r="V51" i="1"/>
  <c r="W51" i="1"/>
  <c r="X51" i="1"/>
  <c r="Y51" i="1"/>
  <c r="Z51" i="1"/>
  <c r="V52" i="1"/>
  <c r="W52" i="1"/>
  <c r="X52" i="1"/>
  <c r="Y52" i="1"/>
  <c r="Z52" i="1"/>
  <c r="V53" i="1"/>
  <c r="W53" i="1"/>
  <c r="X53" i="1"/>
  <c r="Y53" i="1"/>
  <c r="Z53" i="1"/>
  <c r="W39" i="1"/>
  <c r="X39" i="1"/>
  <c r="Y39" i="1"/>
  <c r="Z39" i="1"/>
  <c r="V39" i="1"/>
  <c r="Z37" i="1"/>
  <c r="Y37" i="1"/>
  <c r="X37" i="1"/>
  <c r="W37" i="1"/>
  <c r="V37" i="1"/>
  <c r="Z36" i="1"/>
  <c r="Y36" i="1"/>
  <c r="X36" i="1"/>
  <c r="W36" i="1"/>
  <c r="V36" i="1"/>
  <c r="Z35" i="1"/>
  <c r="Y35" i="1"/>
  <c r="X35" i="1"/>
  <c r="W35" i="1"/>
  <c r="V35" i="1"/>
  <c r="Z34" i="1"/>
  <c r="Y34" i="1"/>
  <c r="X34" i="1"/>
  <c r="W34" i="1"/>
  <c r="V34" i="1"/>
  <c r="Z33" i="1"/>
  <c r="Y33" i="1"/>
  <c r="X33" i="1"/>
  <c r="W33" i="1"/>
  <c r="V33" i="1"/>
  <c r="Z32" i="1"/>
  <c r="Y32" i="1"/>
  <c r="X32" i="1"/>
  <c r="W32" i="1"/>
  <c r="V32" i="1"/>
  <c r="Z31" i="1"/>
  <c r="Y31" i="1"/>
  <c r="X31" i="1"/>
  <c r="W31" i="1"/>
  <c r="V31" i="1"/>
  <c r="Z30" i="1"/>
  <c r="Y30" i="1"/>
  <c r="X30" i="1"/>
  <c r="W30" i="1"/>
  <c r="V30" i="1"/>
  <c r="Z29" i="1"/>
  <c r="Y29" i="1"/>
  <c r="X29" i="1"/>
  <c r="W29" i="1"/>
  <c r="V29" i="1"/>
  <c r="Z28" i="1"/>
  <c r="Y28" i="1"/>
  <c r="X28" i="1"/>
  <c r="W28" i="1"/>
  <c r="V28" i="1"/>
  <c r="Z27" i="1"/>
  <c r="Y27" i="1"/>
  <c r="X27" i="1"/>
  <c r="W27" i="1"/>
  <c r="V27" i="1"/>
  <c r="Z26" i="1"/>
  <c r="Y26" i="1"/>
  <c r="X26" i="1"/>
  <c r="W26" i="1"/>
  <c r="V26" i="1"/>
  <c r="Z25" i="1"/>
  <c r="Y25" i="1"/>
  <c r="X25" i="1"/>
  <c r="W25" i="1"/>
  <c r="V25" i="1"/>
  <c r="Z24" i="1"/>
  <c r="Y24" i="1"/>
  <c r="X24" i="1"/>
  <c r="W24" i="1"/>
  <c r="V24" i="1"/>
  <c r="Z23" i="1"/>
  <c r="Y23" i="1"/>
  <c r="X23" i="1"/>
  <c r="W23" i="1"/>
  <c r="V23" i="1"/>
  <c r="V7" i="1"/>
  <c r="W7" i="1"/>
  <c r="X7" i="1"/>
  <c r="Y7" i="1"/>
  <c r="Z7" i="1"/>
  <c r="V8" i="1"/>
  <c r="W8" i="1"/>
  <c r="X8" i="1"/>
  <c r="Y8" i="1"/>
  <c r="Z8" i="1"/>
  <c r="V9" i="1"/>
  <c r="W9" i="1"/>
  <c r="X9" i="1"/>
  <c r="Y9" i="1"/>
  <c r="Z9" i="1"/>
  <c r="V10" i="1"/>
  <c r="W10" i="1"/>
  <c r="X10" i="1"/>
  <c r="Y10" i="1"/>
  <c r="Z10" i="1"/>
  <c r="V11" i="1"/>
  <c r="W11" i="1"/>
  <c r="X11" i="1"/>
  <c r="Y11" i="1"/>
  <c r="Z11" i="1"/>
  <c r="V12" i="1"/>
  <c r="W12" i="1"/>
  <c r="X12" i="1"/>
  <c r="Y12" i="1"/>
  <c r="Z12" i="1"/>
  <c r="V13" i="1"/>
  <c r="W13" i="1"/>
  <c r="X13" i="1"/>
  <c r="Y13" i="1"/>
  <c r="Z13" i="1"/>
  <c r="V14" i="1"/>
  <c r="W14" i="1"/>
  <c r="X14" i="1"/>
  <c r="Y14" i="1"/>
  <c r="Z14" i="1"/>
  <c r="V15" i="1"/>
  <c r="W15" i="1"/>
  <c r="X15" i="1"/>
  <c r="Y15" i="1"/>
  <c r="Z15" i="1"/>
  <c r="V16" i="1"/>
  <c r="W16" i="1"/>
  <c r="X16" i="1"/>
  <c r="Y16" i="1"/>
  <c r="Z16" i="1"/>
  <c r="V17" i="1"/>
  <c r="W17" i="1"/>
  <c r="X17" i="1"/>
  <c r="Y17" i="1"/>
  <c r="Z17" i="1"/>
  <c r="V18" i="1"/>
  <c r="W18" i="1"/>
  <c r="X18" i="1"/>
  <c r="Y18" i="1"/>
  <c r="Z18" i="1"/>
  <c r="V19" i="1"/>
  <c r="W19" i="1"/>
  <c r="X19" i="1"/>
  <c r="Y19" i="1"/>
  <c r="Z19" i="1"/>
  <c r="V20" i="1"/>
  <c r="W20" i="1"/>
  <c r="X20" i="1"/>
  <c r="Y20" i="1"/>
  <c r="Z20" i="1"/>
  <c r="W6" i="1"/>
  <c r="X6" i="1"/>
  <c r="Y6" i="1"/>
  <c r="Z6" i="1"/>
  <c r="V6" i="1"/>
  <c r="I20" i="4"/>
  <c r="J20" i="4" s="1"/>
  <c r="I28" i="3" s="1"/>
  <c r="I19" i="4"/>
  <c r="J19" i="4" s="1"/>
  <c r="I27" i="3" s="1"/>
  <c r="I18" i="4"/>
  <c r="J18" i="4" s="1"/>
  <c r="I26" i="3" s="1"/>
  <c r="I17" i="4"/>
  <c r="J17" i="4" s="1"/>
  <c r="I25" i="3" s="1"/>
  <c r="I16" i="4"/>
  <c r="J16" i="4" s="1"/>
  <c r="I23" i="3" s="1"/>
  <c r="I15" i="4"/>
  <c r="J15" i="4" s="1"/>
  <c r="I32" i="3" s="1"/>
  <c r="I14" i="4"/>
  <c r="J14" i="4" s="1"/>
  <c r="I36" i="3" s="1"/>
  <c r="I13" i="4"/>
  <c r="J13" i="4" s="1"/>
  <c r="I35" i="3" s="1"/>
  <c r="H14" i="4"/>
  <c r="C13" i="4"/>
  <c r="D13" i="4"/>
  <c r="E13" i="4"/>
  <c r="F13" i="4"/>
  <c r="B13" i="4"/>
  <c r="H9" i="4"/>
  <c r="H10" i="4"/>
  <c r="H11" i="4"/>
  <c r="H12" i="4"/>
  <c r="H15" i="4"/>
  <c r="H16" i="4"/>
  <c r="H17" i="4"/>
  <c r="H18" i="4"/>
  <c r="H19" i="4"/>
  <c r="H20" i="4"/>
  <c r="H8" i="4"/>
  <c r="C24" i="3"/>
  <c r="D24" i="3"/>
  <c r="E24" i="3"/>
  <c r="F24" i="3"/>
  <c r="G24" i="3"/>
  <c r="C29" i="3"/>
  <c r="D29" i="3"/>
  <c r="E29" i="3"/>
  <c r="F29" i="3"/>
  <c r="G29" i="3"/>
  <c r="C30" i="3"/>
  <c r="D30" i="3"/>
  <c r="E30" i="3"/>
  <c r="F30" i="3"/>
  <c r="G30" i="3"/>
  <c r="C31" i="3"/>
  <c r="D31" i="3"/>
  <c r="E31" i="3"/>
  <c r="F31" i="3"/>
  <c r="G31" i="3"/>
  <c r="C33" i="3"/>
  <c r="D33" i="3"/>
  <c r="E33" i="3"/>
  <c r="F33" i="3"/>
  <c r="G33" i="3"/>
  <c r="C34" i="3"/>
  <c r="D34" i="3"/>
  <c r="E34" i="3"/>
  <c r="F34" i="3"/>
  <c r="G34" i="3"/>
  <c r="C37" i="3"/>
  <c r="D37" i="3"/>
  <c r="E37" i="3"/>
  <c r="F37" i="3"/>
  <c r="G37" i="3"/>
  <c r="H23" i="6" l="1"/>
  <c r="F13" i="6"/>
  <c r="G23" i="6"/>
  <c r="I13" i="6"/>
  <c r="E13" i="6"/>
  <c r="F23" i="6"/>
  <c r="H13" i="6"/>
  <c r="I23" i="6"/>
  <c r="E23" i="6"/>
  <c r="G13" i="6"/>
  <c r="H27" i="6"/>
  <c r="G28" i="6"/>
  <c r="F29" i="6"/>
  <c r="E30" i="6"/>
  <c r="I30" i="6"/>
  <c r="H31" i="6"/>
  <c r="G32" i="6"/>
  <c r="E27" i="6"/>
  <c r="I27" i="6"/>
  <c r="H28" i="6"/>
  <c r="G29" i="6"/>
  <c r="F30" i="6"/>
  <c r="E31" i="6"/>
  <c r="I31" i="6"/>
  <c r="H32" i="6"/>
  <c r="F27" i="6"/>
  <c r="E28" i="6"/>
  <c r="I28" i="6"/>
  <c r="H29" i="6"/>
  <c r="G30" i="6"/>
  <c r="F31" i="6"/>
  <c r="E32" i="6"/>
  <c r="I32" i="6"/>
  <c r="G27" i="6"/>
  <c r="F28" i="6"/>
  <c r="E29" i="6"/>
  <c r="I29" i="6"/>
  <c r="H30" i="6"/>
  <c r="G31" i="6"/>
  <c r="K38" i="3"/>
  <c r="I38" i="3"/>
  <c r="H13" i="4"/>
  <c r="I33" i="6" l="1"/>
  <c r="H33" i="6"/>
  <c r="E33" i="6"/>
  <c r="G33" i="6"/>
  <c r="F33" i="6"/>
  <c r="T36" i="1"/>
  <c r="S36" i="1"/>
  <c r="R36" i="1"/>
  <c r="Q36" i="1"/>
  <c r="P36" i="1"/>
  <c r="T35" i="1"/>
  <c r="S35" i="1"/>
  <c r="Q35" i="1"/>
  <c r="P35" i="1"/>
  <c r="T32" i="1"/>
  <c r="S32" i="1"/>
  <c r="R32" i="1"/>
  <c r="Q32" i="1"/>
  <c r="P32" i="1"/>
  <c r="T28" i="1"/>
  <c r="S28" i="1"/>
  <c r="R28" i="1"/>
  <c r="Q28" i="1"/>
  <c r="P28" i="1"/>
  <c r="T27" i="1"/>
  <c r="S27" i="1"/>
  <c r="R27" i="1"/>
  <c r="Q27" i="1"/>
  <c r="P27" i="1"/>
  <c r="T26" i="1"/>
  <c r="S26" i="1"/>
  <c r="R26" i="1"/>
  <c r="Q26" i="1"/>
  <c r="P26" i="1"/>
  <c r="T25" i="1"/>
  <c r="S25" i="1"/>
  <c r="R25" i="1"/>
  <c r="Q25" i="1"/>
  <c r="P25" i="1"/>
  <c r="T23" i="1"/>
  <c r="S23" i="1"/>
  <c r="R23" i="1"/>
  <c r="Q23" i="1"/>
  <c r="P23" i="1"/>
  <c r="T19" i="1"/>
  <c r="G36" i="3" s="1"/>
  <c r="S19" i="1"/>
  <c r="F36" i="3" s="1"/>
  <c r="R19" i="1"/>
  <c r="E36" i="3" s="1"/>
  <c r="Q19" i="1"/>
  <c r="D36" i="3" s="1"/>
  <c r="P19" i="1"/>
  <c r="C36" i="3" s="1"/>
  <c r="T18" i="1"/>
  <c r="G35" i="3" s="1"/>
  <c r="S18" i="1"/>
  <c r="F35" i="3" s="1"/>
  <c r="E35" i="3"/>
  <c r="Q18" i="1"/>
  <c r="P18" i="1"/>
  <c r="C35" i="3" s="1"/>
  <c r="T15" i="1"/>
  <c r="G32" i="3" s="1"/>
  <c r="S15" i="1"/>
  <c r="F32" i="3" s="1"/>
  <c r="R15" i="1"/>
  <c r="E32" i="3" s="1"/>
  <c r="Q15" i="1"/>
  <c r="D32" i="3" s="1"/>
  <c r="P15" i="1"/>
  <c r="C32" i="3" s="1"/>
  <c r="T11" i="1"/>
  <c r="G28" i="3" s="1"/>
  <c r="S11" i="1"/>
  <c r="F28" i="3" s="1"/>
  <c r="R11" i="1"/>
  <c r="E28" i="3" s="1"/>
  <c r="Q11" i="1"/>
  <c r="D28" i="3" s="1"/>
  <c r="P11" i="1"/>
  <c r="C28" i="3" s="1"/>
  <c r="T10" i="1"/>
  <c r="G27" i="3" s="1"/>
  <c r="S10" i="1"/>
  <c r="F27" i="3" s="1"/>
  <c r="R10" i="1"/>
  <c r="E27" i="3" s="1"/>
  <c r="Q10" i="1"/>
  <c r="D27" i="3" s="1"/>
  <c r="P10" i="1"/>
  <c r="C27" i="3" s="1"/>
  <c r="T9" i="1"/>
  <c r="G26" i="3" s="1"/>
  <c r="S9" i="1"/>
  <c r="F26" i="3" s="1"/>
  <c r="R9" i="1"/>
  <c r="E26" i="3" s="1"/>
  <c r="Q9" i="1"/>
  <c r="D26" i="3" s="1"/>
  <c r="P9" i="1"/>
  <c r="C26" i="3" s="1"/>
  <c r="T8" i="1"/>
  <c r="G25" i="3" s="1"/>
  <c r="S8" i="1"/>
  <c r="F25" i="3" s="1"/>
  <c r="R8" i="1"/>
  <c r="E25" i="3" s="1"/>
  <c r="Q8" i="1"/>
  <c r="D25" i="3" s="1"/>
  <c r="P8" i="1"/>
  <c r="C25" i="3" s="1"/>
  <c r="T6" i="1"/>
  <c r="G23" i="3" s="1"/>
  <c r="S6" i="1"/>
  <c r="F23" i="3" s="1"/>
  <c r="R6" i="1"/>
  <c r="E23" i="3" s="1"/>
  <c r="Q6" i="1"/>
  <c r="D23" i="3" s="1"/>
  <c r="P6" i="1"/>
  <c r="C23" i="3" s="1"/>
  <c r="D35" i="3" l="1"/>
  <c r="D38" i="3" s="1"/>
  <c r="C38" i="3"/>
  <c r="G38" i="3"/>
  <c r="E38" i="3"/>
  <c r="F38" i="3"/>
  <c r="Q1" i="1"/>
  <c r="R1" i="1"/>
  <c r="S1" i="1"/>
  <c r="P1" i="1"/>
  <c r="T1" i="1"/>
  <c r="G42" i="3" l="1"/>
  <c r="G46" i="3"/>
  <c r="G45" i="3"/>
  <c r="C46" i="3"/>
  <c r="C42" i="3"/>
  <c r="C45" i="3"/>
  <c r="F46" i="3"/>
  <c r="F42" i="3"/>
  <c r="F45" i="3"/>
  <c r="I48" i="3"/>
  <c r="E46" i="3"/>
  <c r="E42" i="3"/>
  <c r="E45" i="3"/>
</calcChain>
</file>

<file path=xl/sharedStrings.xml><?xml version="1.0" encoding="utf-8"?>
<sst xmlns="http://schemas.openxmlformats.org/spreadsheetml/2006/main" count="625" uniqueCount="256">
  <si>
    <t>Capactity Costs</t>
  </si>
  <si>
    <t>Total</t>
  </si>
  <si>
    <t>Modeled</t>
  </si>
  <si>
    <t>Reference 2040</t>
  </si>
  <si>
    <t>2040 Scenario 1</t>
  </si>
  <si>
    <t>2040 Scenario 2</t>
  </si>
  <si>
    <t>2040 Scenario 3</t>
  </si>
  <si>
    <t>2040 Scenario 4</t>
  </si>
  <si>
    <t>Added</t>
  </si>
  <si>
    <t>cost</t>
  </si>
  <si>
    <t>Reference</t>
  </si>
  <si>
    <t>Scenaro 1</t>
  </si>
  <si>
    <t>Scenaro 2</t>
  </si>
  <si>
    <t>Scenaro 3</t>
  </si>
  <si>
    <t>Scenaro 4</t>
  </si>
  <si>
    <t>NYUP Installed Capactity</t>
  </si>
  <si>
    <t>(2021$/kW)</t>
  </si>
  <si>
    <t>Wind</t>
  </si>
  <si>
    <t>Wind Imports</t>
  </si>
  <si>
    <t>Wind_Offshore</t>
  </si>
  <si>
    <t>Solar</t>
  </si>
  <si>
    <t>Distributed Solar</t>
  </si>
  <si>
    <t>Battery Storage</t>
  </si>
  <si>
    <t>Pumped Storage</t>
  </si>
  <si>
    <t>Hydro Imports (New)</t>
  </si>
  <si>
    <t>Hydro Imports (Existing)</t>
  </si>
  <si>
    <t>In-State Hydro</t>
  </si>
  <si>
    <t>Nuclear</t>
  </si>
  <si>
    <t>Gas &amp; FO</t>
  </si>
  <si>
    <t>Zero-Carbon Firm Resource</t>
  </si>
  <si>
    <t>Hydrogen</t>
  </si>
  <si>
    <t>Biomass</t>
  </si>
  <si>
    <t>NYCW Installed Capacity</t>
  </si>
  <si>
    <t>Scenario 1</t>
  </si>
  <si>
    <t>Scenario 2</t>
  </si>
  <si>
    <t>Scenario 3</t>
  </si>
  <si>
    <t>Scenario 4</t>
  </si>
  <si>
    <t>NYISO_A-E</t>
  </si>
  <si>
    <t>Dist Solar</t>
  </si>
  <si>
    <t>NYISO_F</t>
  </si>
  <si>
    <t>NYISO_GHI</t>
  </si>
  <si>
    <t>NYISO_J</t>
  </si>
  <si>
    <t>NYISO_K</t>
  </si>
  <si>
    <t>https://www.eia.gov/outlooks/aeo/assumptions/pdf/table_8.2.pdf</t>
  </si>
  <si>
    <t>Technology</t>
  </si>
  <si>
    <t>First</t>
  </si>
  <si>
    <t>Lead</t>
  </si>
  <si>
    <t>Base overnight</t>
  </si>
  <si>
    <t>Technological</t>
  </si>
  <si>
    <t>Total overnight</t>
  </si>
  <si>
    <t>Variable</t>
  </si>
  <si>
    <t>Fixed</t>
  </si>
  <si>
    <t>Heat</t>
  </si>
  <si>
    <t>Total Overnight Cost (2021$/kW)</t>
  </si>
  <si>
    <t>Available</t>
  </si>
  <si>
    <t>Size</t>
  </si>
  <si>
    <t>Time</t>
  </si>
  <si>
    <t>cost (b)</t>
  </si>
  <si>
    <t>optimism</t>
  </si>
  <si>
    <t>cost (d) (e )</t>
  </si>
  <si>
    <t>O&amp;M (f)</t>
  </si>
  <si>
    <t>O&amp;M</t>
  </si>
  <si>
    <t>rate ((g)</t>
  </si>
  <si>
    <t>Year (a)</t>
  </si>
  <si>
    <t>(MW)</t>
  </si>
  <si>
    <t>(years)</t>
  </si>
  <si>
    <t>factor (c )</t>
  </si>
  <si>
    <t>(2021$/MWh)</t>
  </si>
  <si>
    <t>(2021$/kW-y)</t>
  </si>
  <si>
    <t>(Bty/kWh)</t>
  </si>
  <si>
    <t>NYCW</t>
  </si>
  <si>
    <t>NYUP</t>
  </si>
  <si>
    <t>Ultra-supercritical coal (USC)</t>
  </si>
  <si>
    <t>NA</t>
  </si>
  <si>
    <t>USC with 30% carbon capture and sequestration (CCS)</t>
  </si>
  <si>
    <t>USC with 90% CCS</t>
  </si>
  <si>
    <t>Combined-cycle—single-shaft</t>
  </si>
  <si>
    <t>Combined-cycle—multi-shaft</t>
  </si>
  <si>
    <t>Combined-cycle with 90% CCS</t>
  </si>
  <si>
    <t>Internal combustion engine</t>
  </si>
  <si>
    <t>Combustion turbine— aeroderivative (h)</t>
  </si>
  <si>
    <t>Combustion turbine— aeroderivativeh</t>
  </si>
  <si>
    <t>Combustion turbine—industrial frame</t>
  </si>
  <si>
    <t>Fuel cells</t>
  </si>
  <si>
    <t>Nuclear—light water reactor</t>
  </si>
  <si>
    <t>Nuclear—small modular reactor</t>
  </si>
  <si>
    <t>Distributed generation—base</t>
  </si>
  <si>
    <t>Distributed generation—peak</t>
  </si>
  <si>
    <t>Battery storage</t>
  </si>
  <si>
    <t>Geothermal (i) (j)</t>
  </si>
  <si>
    <t>Conventional hydropower (j)</t>
  </si>
  <si>
    <t>Wind (e )</t>
  </si>
  <si>
    <t>Wind offshore (i)</t>
  </si>
  <si>
    <t>Solar thermal (i)</t>
  </si>
  <si>
    <t>Solar photovoltaic (PV) with tracking (e ), (i), (k)</t>
  </si>
  <si>
    <t>Solar PV with storage (i),(k)</t>
  </si>
  <si>
    <t>Notes</t>
  </si>
  <si>
    <t>(a)</t>
  </si>
  <si>
    <t>The first year that a new unit could become operational.</t>
  </si>
  <si>
    <t>(b)</t>
  </si>
  <si>
    <t>Base cost includes project contingency costs.</t>
  </si>
  <si>
    <t>(c )</t>
  </si>
  <si>
    <t>We apply the technological optimism factor to the first four units of a new, unproven design; it reflects the demonstrated tendency to underestimate actual costs for a first-of-a-kind unit.</t>
  </si>
  <si>
    <t>(d)</t>
  </si>
  <si>
    <t>Overnight capital cost includes contingency factors and excludes regional multipliers (except as noted for wind and solar PV) and learning effects. Interest charges are also excluded.</t>
  </si>
  <si>
    <t>The capital costs represent current costs for plants that would come online in 2022.</t>
  </si>
  <si>
    <t>(e )</t>
  </si>
  <si>
    <t>Total overnight cost for wind and solar PV technologies in the table are the average input value across all 25 electricity market regions, as weighted by the respective</t>
  </si>
  <si>
    <t>capacity of that type installed during 2020 in each region to account for the substantial regional variation in wind and solar costs (Table 4). The input value used for onshore</t>
  </si>
  <si>
    <t>wind in AEO2022 was $1,411 per kilowatt (kW), and for solar PV with tracking, it was $1,323/kW, which represents the cost of building a plant excluding regional factors.</t>
  </si>
  <si>
    <t>Region-specific factors contributing to the substantial regional variation in cost include differences in typical project size across regions, accessibility of resources, and</t>
  </si>
  <si>
    <t>variation in labor and other construction costs throughout the country.</t>
  </si>
  <si>
    <t>(f)</t>
  </si>
  <si>
    <t>O&amp;M = Operations and maintenance.</t>
  </si>
  <si>
    <t>(g)</t>
  </si>
  <si>
    <t>The nuclear average heat rate is the weighted average tested heat rate for nuclear units as reported on the Form EIA-860, Annual Electric Generator Report. No heat rate is</t>
  </si>
  <si>
    <t>reported for battery storage because it is not a primary conversion technology; conversion losses are accounted for when the electricity is first generated; electricity-to</t>
  </si>
  <si>
    <t>storage losses are accounted for through the additional demand for electricity required to meet load. For hydropower, wind, solar, and geothermal technologies, no heat</t>
  </si>
  <si>
    <t>rate is reported because the power is generated without fuel combustion, and no set British thermal unit conversion factors exist. The module calculates the average heat</t>
  </si>
  <si>
    <t xml:space="preserve"> rate for fossil-fuel generation in each year to report primary energy consumption displaced for these resources.</t>
  </si>
  <si>
    <t>(h)</t>
  </si>
  <si>
    <t>Combustion turbine aeroderivative units can be built by the module before 2023, if necessary, to meet a region's reserve margin.</t>
  </si>
  <si>
    <t>(i)</t>
  </si>
  <si>
    <t>Capital costs are shown before investment tax credits are applied.</t>
  </si>
  <si>
    <t>(j)</t>
  </si>
  <si>
    <t>Because geothermal and hydropower cost and performance characteristics are specific for each site, the table entries show the cost of the least expensive plant that could</t>
  </si>
  <si>
    <t>be built in the Northwest region for hydro and the Great Basin region for geothermal, where most of the proposed sites are located.</t>
  </si>
  <si>
    <t>(k)</t>
  </si>
  <si>
    <t>Costs and capacities are expressed in terms of net AC (alternating current) power available to the grid for the installed capacity.</t>
  </si>
  <si>
    <t>Scenario Costs ($ million 2021)</t>
  </si>
  <si>
    <t>Hydrogen Production</t>
  </si>
  <si>
    <t>Integration Analysis Scenario Costs ($ million 2021)</t>
  </si>
  <si>
    <t>06 System and Resource Outlook Update</t>
  </si>
  <si>
    <t>https://www.nyiso.com/documents/20142/30198298/06%20System_Resource_Outlook_CapEx_Updates.pdf/fd3e3ea9-cdb1-c86e-df17-d48f2ed368db</t>
  </si>
  <si>
    <t>committees - bic - espwg - meeting-materials - 2022 - 2022-04-26</t>
  </si>
  <si>
    <t>NYISO Outlook Study Baseline with CLCPA Case Forecast Scenario</t>
  </si>
  <si>
    <t>Installed Capacity (MW)</t>
  </si>
  <si>
    <t>Resource</t>
  </si>
  <si>
    <t>Fossil</t>
  </si>
  <si>
    <t>DEFR - HcLo</t>
  </si>
  <si>
    <t>DEFR - McMo</t>
  </si>
  <si>
    <t>DEFR- LcHo</t>
  </si>
  <si>
    <t>Hydro</t>
  </si>
  <si>
    <t>LBW</t>
  </si>
  <si>
    <t>OSW</t>
  </si>
  <si>
    <t>UPV</t>
  </si>
  <si>
    <t>BTM-PV</t>
  </si>
  <si>
    <t>Storage</t>
  </si>
  <si>
    <t>Generation (GWh)</t>
  </si>
  <si>
    <t>DEFR - LcHo</t>
  </si>
  <si>
    <t>Total Generation</t>
  </si>
  <si>
    <t>RE Generation</t>
  </si>
  <si>
    <t>ZE Generation</t>
  </si>
  <si>
    <t>Load</t>
  </si>
  <si>
    <t>Load+Charge</t>
  </si>
  <si>
    <t>% RE [RE/Load]</t>
  </si>
  <si>
    <t>%ZE[ZE/(Load+Charge)]</t>
  </si>
  <si>
    <t>Emissions (million tons)</t>
  </si>
  <si>
    <t>CO2 (million tons)</t>
  </si>
  <si>
    <t>($ million 2021)</t>
  </si>
  <si>
    <t>NYISO Draft Outlook</t>
  </si>
  <si>
    <t>Capacity</t>
  </si>
  <si>
    <t>Total DEFR</t>
  </si>
  <si>
    <t xml:space="preserve">Costs </t>
  </si>
  <si>
    <t>Integration Analysis Scenario Capacity Added (MW)</t>
  </si>
  <si>
    <t>Added MW</t>
  </si>
  <si>
    <t>Scenario Added Capacity (MW)</t>
  </si>
  <si>
    <t>Good Enough (MW)</t>
  </si>
  <si>
    <t>Installed</t>
  </si>
  <si>
    <t>Fossil Additions per Gold Book</t>
  </si>
  <si>
    <t>Caiazza</t>
  </si>
  <si>
    <t>Good Enough</t>
  </si>
  <si>
    <t>NYISO Draft Resource Outlook Baseline w/ CLCPA Case Forecast Scenario</t>
  </si>
  <si>
    <t>Reference Case</t>
  </si>
  <si>
    <t xml:space="preserve">Integration Analysis Projections listed in IA-Tech-Supplement-Annex-2-Key-Drivers-Outputs spreadsheet </t>
  </si>
  <si>
    <t>Capacity Analysis</t>
  </si>
  <si>
    <t>EIA Costs</t>
  </si>
  <si>
    <t>Estimated cost to produce hydrogen needed for DEFR</t>
  </si>
  <si>
    <t>https://seekingalpha.com/article/4392471-hydrogen-vs-natural-gas-for-electric-power-generation</t>
  </si>
  <si>
    <t>MW</t>
  </si>
  <si>
    <t xml:space="preserve">GE 9F.04 gas turbine produces 288 MW of power. </t>
  </si>
  <si>
    <t>million CF</t>
  </si>
  <si>
    <t>This turbine would use about 9.3 million CF or 22,400 kg of hydrogen per hour.</t>
  </si>
  <si>
    <t>MWh</t>
  </si>
  <si>
    <t>With an 80% efficient electrolysis energy cost of 49.3 kWh/kg, producing that one hour supply of hydrogen would require 1,104 MWh of power for electrolysis.</t>
  </si>
  <si>
    <t>With an 80% efficient electrolysis energy cost of 49.3 kWh/kg, producing a one hour supply of hydrogen for one MW of a turbine would require 3.83 MWh of power for electrolysis.</t>
  </si>
  <si>
    <t>Btu/CF</t>
  </si>
  <si>
    <t>Higher heating value BTU/CF</t>
  </si>
  <si>
    <t>mmBtu/hr</t>
  </si>
  <si>
    <t>mmBtu/MW</t>
  </si>
  <si>
    <t>2020 $/MMBTU</t>
  </si>
  <si>
    <t>From Integrated Analysis</t>
  </si>
  <si>
    <t>Out of state cost of hydrogen</t>
  </si>
  <si>
    <t>2020 $/kW</t>
  </si>
  <si>
    <t xml:space="preserve">Electricity Input Cost  </t>
  </si>
  <si>
    <t>Assumes a dedicated solar resource with cap factor of 23.5%</t>
  </si>
  <si>
    <t xml:space="preserve"> Electrolyzer Capital Cost </t>
  </si>
  <si>
    <t>MMBTU/kW</t>
  </si>
  <si>
    <t>Other Capital Costs (Pipeline Blending, Interconnection, etc)</t>
  </si>
  <si>
    <t>Underground H2 Storage  Cost</t>
  </si>
  <si>
    <t>Based on underground salt cavern storage</t>
  </si>
  <si>
    <t>400-mile Pipeline Cost</t>
  </si>
  <si>
    <t>High pressure pipelines dedicated for H2. Cost estimates come from Argonne National Lab's Hydrogen Delivery Scenario Analysis Model (HDSAM)</t>
  </si>
  <si>
    <t>Variable O&amp;M Cost</t>
  </si>
  <si>
    <t>Total Cost</t>
  </si>
  <si>
    <t>Total Cost $/MW</t>
  </si>
  <si>
    <t xml:space="preserve">In-state cost of hydrogen </t>
  </si>
  <si>
    <t>Cost of electricity is captured endogenously in RESOLVE</t>
  </si>
  <si>
    <t xml:space="preserve">Electrolyzer CAPEX is consistent with out-of-state. Difference can be attributed to 25% capacity factor assumed </t>
  </si>
  <si>
    <t>Subtotal</t>
  </si>
  <si>
    <t>In-state cost of hydrogen ($/kW)</t>
  </si>
  <si>
    <t>Used 2035 as the cost for building the 2040 electrolyzer costs.</t>
  </si>
  <si>
    <t>Converted the Integration Analysis cost per mmBtu to MW using the 55.3 conversion factor</t>
  </si>
  <si>
    <t>Table 3: Estimated Capacity Additions and Overnight Capital Costs for those Additions</t>
  </si>
  <si>
    <t>Table 4</t>
  </si>
  <si>
    <t>Table 5</t>
  </si>
  <si>
    <t>Additional Capacity Installed for replacement at expected lifetime</t>
  </si>
  <si>
    <t>Cost for Additional Capacity Installed for replacement at expected lifetime</t>
  </si>
  <si>
    <t>Replacement Cost</t>
  </si>
  <si>
    <t>($ million)</t>
  </si>
  <si>
    <t>Replacement Capacity (MW)</t>
  </si>
  <si>
    <t xml:space="preserve">Total </t>
  </si>
  <si>
    <t>Existing Dispatchable</t>
  </si>
  <si>
    <t>Dispatchable Emissions-Free</t>
  </si>
  <si>
    <t>Weather-Dependent</t>
  </si>
  <si>
    <t>Scenario 2 burns H2 in a turbine</t>
  </si>
  <si>
    <t>Base Capital Costs by Technology (2020 $/kW)</t>
  </si>
  <si>
    <t>Wind - Offshore</t>
  </si>
  <si>
    <t>Solar - Tracking</t>
  </si>
  <si>
    <t>Solar - Dist Comm</t>
  </si>
  <si>
    <t>Solar - Dist Res</t>
  </si>
  <si>
    <t>Hydro - Non-Powered Dam</t>
  </si>
  <si>
    <t>Hydro - Large</t>
  </si>
  <si>
    <t>Gas - CCGT</t>
  </si>
  <si>
    <t>Gas - CT - Frame</t>
  </si>
  <si>
    <t>Hydrogen - Fuel Cell</t>
  </si>
  <si>
    <t>Pumped Storage [Energy, $/kWh]</t>
  </si>
  <si>
    <t>Battery - Li [Energy, $/kWh]</t>
  </si>
  <si>
    <t xml:space="preserve">Costs - Mid </t>
  </si>
  <si>
    <t>Costs - Low</t>
  </si>
  <si>
    <t>IA-Tech-Supplement-Annex-1-Input-Assumptions Resource Costs Tables</t>
  </si>
  <si>
    <t>Wind offshore</t>
  </si>
  <si>
    <t>Solar photovoltaic (PV) with tracking</t>
  </si>
  <si>
    <t>Conventional hydropower</t>
  </si>
  <si>
    <t>Combustion turbine— aeroderivative</t>
  </si>
  <si>
    <t>factor</t>
  </si>
  <si>
    <t>EIA Table 2</t>
  </si>
  <si>
    <t>EIA Table 1: Cost  of new central station electricity generating technologies</t>
  </si>
  <si>
    <t>Percent Difference between IA and EIA</t>
  </si>
  <si>
    <t/>
  </si>
  <si>
    <t>Table 1: Caiazza Comment</t>
  </si>
  <si>
    <t>Table A-3 Compare IA-Tech-Supplement-Annex-1-Input-Assumptions Spreadsheet to EIA Cost and Performance Characteristics of New Generating Technologies, Annual Energy Outlook 2022</t>
  </si>
  <si>
    <t>https://atb.nrel.gov/electricity/2022/utility-scale_battery_storage</t>
  </si>
  <si>
    <t>Battery - Li ion</t>
  </si>
  <si>
    <t>Table A-1. Cost and performance characteristics of new central station electricity generating technologies</t>
  </si>
  <si>
    <t>Table A-2. Total overnight capital costs of new electricity generating technologies by region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</si>
</sst>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6" formatCode="&quot;$&quot;#,##0_);[Red]\(&quot;$&quot;#,##0\)"/>
    <numFmt numFmtId="8" formatCode="&quot;$&quot;#,##0.00_);[Red]\(&quot;$&quot;#,##0.00\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$&quot;* #,##0_);_(&quot;$&quot;* \(#,##0\);_(&quot;$&quot;* &quot;-&quot;??_);_(@_)"/>
    <numFmt numFmtId="165" formatCode="_(* #,##0.000_);_(* \(#,##0.000\);_(* &quot;-&quot;??_);_(@_)"/>
    <numFmt numFmtId="166" formatCode="_(* #,##0_);_(* \(#,##0\);_(* &quot;-&quot;??_);_(@_)"/>
    <numFmt numFmtId="167" formatCode="0.0%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7"/>
      <color rgb="FF545454"/>
      <name val="Roboto"/>
    </font>
    <font>
      <i/>
      <sz val="9"/>
      <name val="Arial"/>
      <family val="2"/>
    </font>
    <font>
      <b/>
      <sz val="9"/>
      <color theme="1"/>
      <name val="Arial"/>
      <family val="2"/>
    </font>
    <font>
      <sz val="9"/>
      <color theme="0"/>
      <name val="Arial"/>
      <family val="2"/>
    </font>
    <font>
      <i/>
      <sz val="9"/>
      <color theme="0" tint="-0.34998626667073579"/>
      <name val="Arial"/>
      <family val="2"/>
    </font>
    <font>
      <sz val="9"/>
      <color theme="1"/>
      <name val="Arial"/>
      <family val="2"/>
    </font>
    <font>
      <b/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auto="1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8">
    <xf numFmtId="0" fontId="0" fillId="0" borderId="0"/>
    <xf numFmtId="44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6" fillId="0" borderId="0" applyNumberFormat="0" applyFill="0" applyBorder="0" applyAlignment="0" applyProtection="0"/>
    <xf numFmtId="9" fontId="1" fillId="0" borderId="0" applyFont="0" applyFill="0" applyBorder="0" applyAlignment="0" applyProtection="0"/>
    <xf numFmtId="0" fontId="12" fillId="4" borderId="7" applyNumberFormat="0">
      <alignment vertical="center"/>
    </xf>
  </cellStyleXfs>
  <cellXfs count="120"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2" applyFont="1"/>
    <xf numFmtId="165" fontId="4" fillId="0" borderId="1" xfId="3" applyNumberFormat="1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4" fillId="0" borderId="5" xfId="2" applyFont="1" applyBorder="1" applyAlignment="1">
      <alignment horizontal="center"/>
    </xf>
    <xf numFmtId="0" fontId="4" fillId="0" borderId="2" xfId="2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5" fillId="0" borderId="2" xfId="2" applyFont="1" applyBorder="1" applyAlignment="1">
      <alignment horizontal="right"/>
    </xf>
    <xf numFmtId="41" fontId="3" fillId="0" borderId="2" xfId="4" applyNumberFormat="1" applyFont="1" applyFill="1" applyBorder="1" applyAlignment="1"/>
    <xf numFmtId="41" fontId="0" fillId="0" borderId="2" xfId="0" applyNumberFormat="1" applyBorder="1"/>
    <xf numFmtId="6" fontId="0" fillId="0" borderId="2" xfId="0" applyNumberFormat="1" applyBorder="1"/>
    <xf numFmtId="164" fontId="0" fillId="0" borderId="2" xfId="1" applyNumberFormat="1" applyFont="1" applyBorder="1"/>
    <xf numFmtId="0" fontId="0" fillId="0" borderId="2" xfId="0" applyBorder="1"/>
    <xf numFmtId="0" fontId="5" fillId="0" borderId="0" xfId="2" applyFont="1"/>
    <xf numFmtId="165" fontId="3" fillId="0" borderId="0" xfId="3" applyNumberFormat="1" applyFont="1" applyFill="1" applyAlignment="1"/>
    <xf numFmtId="41" fontId="0" fillId="0" borderId="0" xfId="0" applyNumberFormat="1"/>
    <xf numFmtId="164" fontId="0" fillId="0" borderId="2" xfId="0" applyNumberFormat="1" applyBorder="1"/>
    <xf numFmtId="0" fontId="6" fillId="0" borderId="0" xfId="5"/>
    <xf numFmtId="0" fontId="0" fillId="0" borderId="3" xfId="0" applyBorder="1"/>
    <xf numFmtId="0" fontId="0" fillId="0" borderId="4" xfId="0" applyBorder="1"/>
    <xf numFmtId="8" fontId="0" fillId="0" borderId="2" xfId="0" applyNumberFormat="1" applyBorder="1"/>
    <xf numFmtId="3" fontId="0" fillId="0" borderId="2" xfId="0" applyNumberFormat="1" applyBorder="1"/>
    <xf numFmtId="0" fontId="0" fillId="0" borderId="0" xfId="0" applyAlignment="1">
      <alignment horizontal="left"/>
    </xf>
    <xf numFmtId="44" fontId="0" fillId="0" borderId="0" xfId="1" applyFont="1"/>
    <xf numFmtId="44" fontId="0" fillId="0" borderId="0" xfId="1" applyFont="1" applyAlignment="1"/>
    <xf numFmtId="0" fontId="0" fillId="0" borderId="0" xfId="0" applyFill="1"/>
    <xf numFmtId="0" fontId="2" fillId="0" borderId="1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7" fillId="0" borderId="0" xfId="0" applyFont="1" applyAlignment="1">
      <alignment vertical="center"/>
    </xf>
    <xf numFmtId="9" fontId="0" fillId="0" borderId="2" xfId="0" applyNumberFormat="1" applyBorder="1"/>
    <xf numFmtId="2" fontId="0" fillId="0" borderId="2" xfId="0" applyNumberFormat="1" applyBorder="1"/>
    <xf numFmtId="6" fontId="0" fillId="0" borderId="0" xfId="0" applyNumberFormat="1"/>
    <xf numFmtId="164" fontId="0" fillId="0" borderId="2" xfId="0" applyNumberFormat="1" applyFill="1" applyBorder="1"/>
    <xf numFmtId="164" fontId="0" fillId="2" borderId="2" xfId="0" applyNumberFormat="1" applyFill="1" applyBorder="1"/>
    <xf numFmtId="37" fontId="0" fillId="0" borderId="2" xfId="1" applyNumberFormat="1" applyFont="1" applyBorder="1"/>
    <xf numFmtId="37" fontId="0" fillId="0" borderId="2" xfId="0" applyNumberFormat="1" applyBorder="1"/>
    <xf numFmtId="0" fontId="2" fillId="0" borderId="0" xfId="0" applyFont="1" applyFill="1" applyAlignment="1">
      <alignment horizontal="center"/>
    </xf>
    <xf numFmtId="3" fontId="0" fillId="0" borderId="0" xfId="0" applyNumberFormat="1"/>
    <xf numFmtId="4" fontId="0" fillId="0" borderId="0" xfId="0" applyNumberFormat="1"/>
    <xf numFmtId="2" fontId="0" fillId="0" borderId="0" xfId="0" applyNumberFormat="1"/>
    <xf numFmtId="0" fontId="8" fillId="0" borderId="2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10" fillId="3" borderId="0" xfId="0" applyFont="1" applyFill="1" applyAlignment="1">
      <alignment vertical="center"/>
    </xf>
    <xf numFmtId="0" fontId="8" fillId="0" borderId="0" xfId="0" applyFont="1" applyAlignment="1">
      <alignment vertical="center"/>
    </xf>
    <xf numFmtId="0" fontId="11" fillId="0" borderId="2" xfId="0" applyFont="1" applyBorder="1" applyAlignment="1">
      <alignment vertical="center"/>
    </xf>
    <xf numFmtId="164" fontId="0" fillId="0" borderId="2" xfId="0" applyNumberFormat="1" applyBorder="1" applyAlignment="1">
      <alignment vertical="center"/>
    </xf>
    <xf numFmtId="0" fontId="12" fillId="4" borderId="2" xfId="7" applyBorder="1" applyAlignment="1">
      <alignment horizontal="left" vertical="center"/>
    </xf>
    <xf numFmtId="44" fontId="0" fillId="0" borderId="2" xfId="0" applyNumberFormat="1" applyBorder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8" fillId="0" borderId="0" xfId="0" applyFont="1" applyAlignment="1">
      <alignment horizontal="left" vertical="center"/>
    </xf>
    <xf numFmtId="0" fontId="9" fillId="4" borderId="2" xfId="7" applyFont="1" applyBorder="1" applyAlignment="1">
      <alignment horizontal="left" vertical="center"/>
    </xf>
    <xf numFmtId="44" fontId="9" fillId="0" borderId="2" xfId="0" applyNumberFormat="1" applyFont="1" applyBorder="1" applyAlignment="1">
      <alignment vertical="center"/>
    </xf>
    <xf numFmtId="0" fontId="12" fillId="4" borderId="6" xfId="7" applyBorder="1" applyAlignment="1">
      <alignment horizontal="left" vertical="center"/>
    </xf>
    <xf numFmtId="44" fontId="0" fillId="0" borderId="0" xfId="0" applyNumberFormat="1"/>
    <xf numFmtId="44" fontId="9" fillId="2" borderId="2" xfId="0" applyNumberFormat="1" applyFont="1" applyFill="1" applyBorder="1" applyAlignment="1">
      <alignment vertical="center"/>
    </xf>
    <xf numFmtId="0" fontId="0" fillId="2" borderId="0" xfId="0" applyFill="1" applyAlignment="1">
      <alignment horizontal="left"/>
    </xf>
    <xf numFmtId="0" fontId="13" fillId="0" borderId="2" xfId="2" applyFont="1" applyBorder="1" applyAlignment="1">
      <alignment horizontal="right"/>
    </xf>
    <xf numFmtId="164" fontId="2" fillId="0" borderId="2" xfId="1" applyNumberFormat="1" applyFont="1" applyBorder="1"/>
    <xf numFmtId="164" fontId="0" fillId="0" borderId="0" xfId="0" applyNumberFormat="1"/>
    <xf numFmtId="166" fontId="0" fillId="0" borderId="2" xfId="0" applyNumberFormat="1" applyBorder="1"/>
    <xf numFmtId="0" fontId="13" fillId="0" borderId="0" xfId="0" applyFont="1" applyFill="1"/>
    <xf numFmtId="0" fontId="5" fillId="0" borderId="0" xfId="0" applyFont="1" applyFill="1"/>
    <xf numFmtId="0" fontId="4" fillId="0" borderId="8" xfId="2" applyFont="1" applyFill="1" applyBorder="1"/>
    <xf numFmtId="0" fontId="4" fillId="0" borderId="9" xfId="2" applyFont="1" applyFill="1" applyBorder="1" applyAlignment="1">
      <alignment horizontal="center"/>
    </xf>
    <xf numFmtId="164" fontId="5" fillId="0" borderId="0" xfId="0" applyNumberFormat="1" applyFont="1" applyFill="1"/>
    <xf numFmtId="0" fontId="3" fillId="0" borderId="2" xfId="2" applyFont="1" applyFill="1" applyBorder="1" applyAlignment="1">
      <alignment horizontal="right"/>
    </xf>
    <xf numFmtId="166" fontId="5" fillId="0" borderId="2" xfId="0" applyNumberFormat="1" applyFont="1" applyFill="1" applyBorder="1"/>
    <xf numFmtId="0" fontId="5" fillId="0" borderId="2" xfId="0" applyFont="1" applyFill="1" applyBorder="1"/>
    <xf numFmtId="164" fontId="5" fillId="0" borderId="2" xfId="0" applyNumberFormat="1" applyFont="1" applyFill="1" applyBorder="1"/>
    <xf numFmtId="0" fontId="3" fillId="0" borderId="0" xfId="2" applyFont="1" applyFill="1" applyBorder="1" applyAlignment="1">
      <alignment horizontal="right"/>
    </xf>
    <xf numFmtId="166" fontId="5" fillId="0" borderId="0" xfId="0" applyNumberFormat="1" applyFont="1" applyFill="1" applyBorder="1"/>
    <xf numFmtId="164" fontId="5" fillId="0" borderId="0" xfId="0" applyNumberFormat="1" applyFont="1" applyFill="1" applyBorder="1"/>
    <xf numFmtId="0" fontId="4" fillId="0" borderId="2" xfId="2" applyFont="1" applyFill="1" applyBorder="1"/>
    <xf numFmtId="0" fontId="4" fillId="0" borderId="2" xfId="2" applyFont="1" applyFill="1" applyBorder="1" applyAlignment="1">
      <alignment horizontal="center"/>
    </xf>
    <xf numFmtId="0" fontId="13" fillId="0" borderId="1" xfId="0" applyFont="1" applyFill="1" applyBorder="1" applyAlignment="1">
      <alignment horizontal="center"/>
    </xf>
    <xf numFmtId="0" fontId="13" fillId="0" borderId="5" xfId="0" applyFont="1" applyFill="1" applyBorder="1" applyAlignment="1">
      <alignment horizontal="center"/>
    </xf>
    <xf numFmtId="164" fontId="13" fillId="0" borderId="2" xfId="0" applyNumberFormat="1" applyFont="1" applyFill="1" applyBorder="1" applyAlignment="1">
      <alignment horizontal="right"/>
    </xf>
    <xf numFmtId="167" fontId="0" fillId="0" borderId="0" xfId="6" applyNumberFormat="1" applyFont="1"/>
    <xf numFmtId="164" fontId="1" fillId="0" borderId="2" xfId="1" applyNumberFormat="1" applyFont="1" applyBorder="1"/>
    <xf numFmtId="0" fontId="0" fillId="0" borderId="0" xfId="0" applyFont="1"/>
    <xf numFmtId="0" fontId="13" fillId="0" borderId="0" xfId="2" applyFont="1" applyFill="1" applyBorder="1" applyAlignment="1">
      <alignment horizontal="right"/>
    </xf>
    <xf numFmtId="0" fontId="5" fillId="0" borderId="0" xfId="2" applyFont="1" applyFill="1" applyBorder="1" applyAlignment="1">
      <alignment horizontal="left"/>
    </xf>
    <xf numFmtId="0" fontId="13" fillId="0" borderId="2" xfId="0" applyFont="1" applyBorder="1" applyAlignment="1">
      <alignment horizontal="right"/>
    </xf>
    <xf numFmtId="0" fontId="13" fillId="0" borderId="6" xfId="0" applyFont="1" applyFill="1" applyBorder="1" applyAlignment="1">
      <alignment horizontal="right"/>
    </xf>
    <xf numFmtId="0" fontId="14" fillId="5" borderId="2" xfId="0" applyFont="1" applyFill="1" applyBorder="1" applyAlignment="1">
      <alignment vertical="center"/>
    </xf>
    <xf numFmtId="164" fontId="14" fillId="0" borderId="2" xfId="0" applyNumberFormat="1" applyFont="1" applyBorder="1" applyAlignment="1">
      <alignment vertical="center"/>
    </xf>
    <xf numFmtId="0" fontId="0" fillId="0" borderId="1" xfId="0" applyBorder="1"/>
    <xf numFmtId="0" fontId="15" fillId="0" borderId="5" xfId="0" applyFont="1" applyBorder="1" applyAlignment="1">
      <alignment vertical="center"/>
    </xf>
    <xf numFmtId="0" fontId="15" fillId="0" borderId="5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12" xfId="0" applyBorder="1"/>
    <xf numFmtId="0" fontId="0" fillId="0" borderId="0" xfId="0" applyBorder="1"/>
    <xf numFmtId="0" fontId="0" fillId="0" borderId="14" xfId="0" applyBorder="1"/>
    <xf numFmtId="9" fontId="0" fillId="0" borderId="2" xfId="6" applyFont="1" applyBorder="1"/>
    <xf numFmtId="0" fontId="0" fillId="0" borderId="1" xfId="0" applyFill="1" applyBorder="1"/>
    <xf numFmtId="0" fontId="15" fillId="0" borderId="5" xfId="0" applyFont="1" applyFill="1" applyBorder="1" applyAlignment="1">
      <alignment vertical="center"/>
    </xf>
    <xf numFmtId="0" fontId="14" fillId="0" borderId="2" xfId="0" applyFont="1" applyFill="1" applyBorder="1" applyAlignment="1">
      <alignment vertical="center"/>
    </xf>
    <xf numFmtId="0" fontId="0" fillId="0" borderId="0" xfId="0" applyAlignment="1">
      <alignment horizontal="left"/>
    </xf>
    <xf numFmtId="0" fontId="2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 wrapText="1"/>
    </xf>
    <xf numFmtId="0" fontId="2" fillId="0" borderId="0" xfId="0" applyFont="1" applyAlignment="1">
      <alignment horizontal="center"/>
    </xf>
    <xf numFmtId="0" fontId="2" fillId="0" borderId="8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4" fillId="0" borderId="2" xfId="2" applyFont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13" fillId="0" borderId="3" xfId="0" applyFont="1" applyFill="1" applyBorder="1" applyAlignment="1">
      <alignment horizontal="center"/>
    </xf>
    <xf numFmtId="0" fontId="13" fillId="0" borderId="11" xfId="0" applyFont="1" applyFill="1" applyBorder="1" applyAlignment="1">
      <alignment horizontal="center"/>
    </xf>
    <xf numFmtId="0" fontId="13" fillId="0" borderId="4" xfId="0" applyFont="1" applyFill="1" applyBorder="1" applyAlignment="1">
      <alignment horizontal="center"/>
    </xf>
  </cellXfs>
  <cellStyles count="8">
    <cellStyle name="Comma 3 2 2" xfId="3" xr:uid="{05CC8004-56FB-444B-A3A9-7F51D18E07DC}"/>
    <cellStyle name="Currency" xfId="1" builtinId="4"/>
    <cellStyle name="Currency 2 2 2" xfId="4" xr:uid="{148DA07A-4366-4E5B-986C-994AF1437463}"/>
    <cellStyle name="Hyperlink" xfId="5" builtinId="8"/>
    <cellStyle name="Normal" xfId="0" builtinId="0"/>
    <cellStyle name="Normal 3 2 2" xfId="2" xr:uid="{B5A93B7E-9F5F-4BBC-8CA3-7D12DA66A656}"/>
    <cellStyle name="Percent" xfId="6" builtinId="5"/>
    <cellStyle name="Table Index" xfId="7" xr:uid="{C8BF9FA6-D13E-4E17-9998-1682CFF54D9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20</xdr:row>
      <xdr:rowOff>0</xdr:rowOff>
    </xdr:from>
    <xdr:to>
      <xdr:col>11</xdr:col>
      <xdr:colOff>604711</xdr:colOff>
      <xdr:row>54</xdr:row>
      <xdr:rowOff>172556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C473300-15BF-1A2E-A351-BFD7F8CEE4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34640" y="3657600"/>
          <a:ext cx="8628571" cy="63904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eia.gov/outlooks/aeo/assumptions/pdf/table_8.2.pdf" TargetMode="External"/><Relationship Id="rId1" Type="http://schemas.openxmlformats.org/officeDocument/2006/relationships/hyperlink" Target="https://www.eia.gov/outlooks/aeo/assumptions/pdf/table_8.2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s://seekingalpha.com/article/4392471-hydrogen-vs-natural-gas-for-electric-power-generation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nyiso.com/documents/20142/30198298/06%20System_Resource_Outlook_CapEx_Updates.pdf/fd3e3ea9-cdb1-c86e-df17-d48f2ed368db" TargetMode="External"/><Relationship Id="rId1" Type="http://schemas.openxmlformats.org/officeDocument/2006/relationships/hyperlink" Target="https://www.nyiso.com/documents/20142/30198298/06%20System_Resource_Outlook_CapEx_Updates.pdf/fd3e3ea9-cdb1-c86e-df17-d48f2ed368db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90E679-85EB-45C2-8A41-02040FA72CE8}">
  <dimension ref="A1:S52"/>
  <sheetViews>
    <sheetView workbookViewId="0">
      <selection activeCell="M2" sqref="M2"/>
    </sheetView>
  </sheetViews>
  <sheetFormatPr defaultRowHeight="14.4" x14ac:dyDescent="0.3"/>
  <cols>
    <col min="1" max="1" width="3.5546875" bestFit="1" customWidth="1"/>
    <col min="2" max="2" width="45.5546875" bestFit="1" customWidth="1"/>
    <col min="3" max="3" width="8.33203125" customWidth="1"/>
    <col min="4" max="4" width="5.5546875" customWidth="1"/>
    <col min="5" max="5" width="6.44140625" customWidth="1"/>
    <col min="6" max="6" width="13.109375" customWidth="1"/>
    <col min="7" max="7" width="12.21875" customWidth="1"/>
    <col min="8" max="8" width="13.44140625" customWidth="1"/>
    <col min="9" max="9" width="12.33203125" customWidth="1"/>
    <col min="10" max="10" width="12.109375" customWidth="1"/>
    <col min="11" max="11" width="9.21875" customWidth="1"/>
    <col min="12" max="12" width="3" customWidth="1"/>
    <col min="13" max="13" width="3.5546875" bestFit="1" customWidth="1"/>
    <col min="14" max="14" width="45.5546875" bestFit="1" customWidth="1"/>
  </cols>
  <sheetData>
    <row r="1" spans="1:16" x14ac:dyDescent="0.3">
      <c r="A1" s="1" t="s">
        <v>254</v>
      </c>
      <c r="M1" s="1" t="s">
        <v>255</v>
      </c>
    </row>
    <row r="2" spans="1:16" x14ac:dyDescent="0.3">
      <c r="A2" s="21" t="s">
        <v>43</v>
      </c>
      <c r="M2" s="21" t="s">
        <v>43</v>
      </c>
    </row>
    <row r="4" spans="1:16" x14ac:dyDescent="0.3">
      <c r="A4" s="104" t="s">
        <v>44</v>
      </c>
      <c r="B4" s="104"/>
      <c r="C4" s="5" t="s">
        <v>45</v>
      </c>
      <c r="D4" s="5"/>
      <c r="E4" s="5" t="s">
        <v>46</v>
      </c>
      <c r="F4" s="5" t="s">
        <v>47</v>
      </c>
      <c r="G4" s="5" t="s">
        <v>48</v>
      </c>
      <c r="H4" s="5" t="s">
        <v>49</v>
      </c>
      <c r="I4" s="5" t="s">
        <v>50</v>
      </c>
      <c r="J4" s="5" t="s">
        <v>51</v>
      </c>
      <c r="K4" s="5" t="s">
        <v>52</v>
      </c>
      <c r="M4" s="104" t="s">
        <v>44</v>
      </c>
      <c r="N4" s="104"/>
      <c r="O4" s="105" t="s">
        <v>53</v>
      </c>
      <c r="P4" s="105"/>
    </row>
    <row r="5" spans="1:16" x14ac:dyDescent="0.3">
      <c r="A5" s="104"/>
      <c r="B5" s="104"/>
      <c r="C5" s="9" t="s">
        <v>54</v>
      </c>
      <c r="D5" s="9" t="s">
        <v>55</v>
      </c>
      <c r="E5" s="9" t="s">
        <v>56</v>
      </c>
      <c r="F5" s="9" t="s">
        <v>57</v>
      </c>
      <c r="G5" s="9" t="s">
        <v>58</v>
      </c>
      <c r="H5" s="9" t="s">
        <v>59</v>
      </c>
      <c r="I5" s="9" t="s">
        <v>60</v>
      </c>
      <c r="J5" s="9" t="s">
        <v>61</v>
      </c>
      <c r="K5" s="9" t="s">
        <v>62</v>
      </c>
      <c r="M5" s="104"/>
      <c r="N5" s="104"/>
      <c r="O5" s="105"/>
      <c r="P5" s="105"/>
    </row>
    <row r="6" spans="1:16" x14ac:dyDescent="0.3">
      <c r="A6" s="104"/>
      <c r="B6" s="104"/>
      <c r="C6" s="10" t="s">
        <v>63</v>
      </c>
      <c r="D6" s="10" t="s">
        <v>64</v>
      </c>
      <c r="E6" s="10" t="s">
        <v>65</v>
      </c>
      <c r="F6" s="10" t="s">
        <v>16</v>
      </c>
      <c r="G6" s="10" t="s">
        <v>66</v>
      </c>
      <c r="H6" s="10" t="s">
        <v>16</v>
      </c>
      <c r="I6" s="10" t="s">
        <v>67</v>
      </c>
      <c r="J6" s="10" t="s">
        <v>68</v>
      </c>
      <c r="K6" s="10" t="s">
        <v>69</v>
      </c>
      <c r="M6" s="104"/>
      <c r="N6" s="104"/>
      <c r="O6" s="8" t="s">
        <v>70</v>
      </c>
      <c r="P6" s="8" t="s">
        <v>71</v>
      </c>
    </row>
    <row r="7" spans="1:16" x14ac:dyDescent="0.3">
      <c r="A7" s="22" t="s">
        <v>72</v>
      </c>
      <c r="B7" s="23"/>
      <c r="C7" s="16">
        <v>2025</v>
      </c>
      <c r="D7" s="16">
        <v>650</v>
      </c>
      <c r="E7" s="16">
        <v>4</v>
      </c>
      <c r="F7" s="14">
        <v>4074</v>
      </c>
      <c r="G7" s="16">
        <v>1</v>
      </c>
      <c r="H7" s="14">
        <v>4074</v>
      </c>
      <c r="I7" s="24">
        <v>4.71</v>
      </c>
      <c r="J7" s="24">
        <v>42.49</v>
      </c>
      <c r="K7" s="25">
        <v>8638</v>
      </c>
      <c r="M7" s="22" t="s">
        <v>72</v>
      </c>
      <c r="N7" s="23"/>
      <c r="O7" s="16" t="s">
        <v>73</v>
      </c>
      <c r="P7" s="14">
        <v>4614</v>
      </c>
    </row>
    <row r="8" spans="1:16" x14ac:dyDescent="0.3">
      <c r="A8" s="22" t="s">
        <v>74</v>
      </c>
      <c r="B8" s="23"/>
      <c r="C8" s="16">
        <v>2025</v>
      </c>
      <c r="D8" s="16">
        <v>650</v>
      </c>
      <c r="E8" s="16">
        <v>4</v>
      </c>
      <c r="F8" s="14">
        <v>5045</v>
      </c>
      <c r="G8" s="16">
        <v>1.01</v>
      </c>
      <c r="H8" s="14">
        <v>5096</v>
      </c>
      <c r="I8" s="24">
        <v>7.41</v>
      </c>
      <c r="J8" s="24">
        <v>56.84</v>
      </c>
      <c r="K8" s="25">
        <v>9751</v>
      </c>
      <c r="M8" s="22" t="s">
        <v>74</v>
      </c>
      <c r="N8" s="23"/>
      <c r="O8" s="16" t="s">
        <v>73</v>
      </c>
      <c r="P8" s="14">
        <v>5729</v>
      </c>
    </row>
    <row r="9" spans="1:16" x14ac:dyDescent="0.3">
      <c r="A9" s="22" t="s">
        <v>75</v>
      </c>
      <c r="B9" s="23"/>
      <c r="C9" s="16">
        <v>2025</v>
      </c>
      <c r="D9" s="16">
        <v>650</v>
      </c>
      <c r="E9" s="16">
        <v>4</v>
      </c>
      <c r="F9" s="14">
        <v>6495</v>
      </c>
      <c r="G9" s="16">
        <v>1.02</v>
      </c>
      <c r="H9" s="14">
        <v>6625</v>
      </c>
      <c r="I9" s="24">
        <v>11.49</v>
      </c>
      <c r="J9" s="24">
        <v>62.34</v>
      </c>
      <c r="K9" s="25">
        <v>12507</v>
      </c>
      <c r="M9" s="22" t="s">
        <v>75</v>
      </c>
      <c r="N9" s="23"/>
      <c r="O9" s="16" t="s">
        <v>73</v>
      </c>
      <c r="P9" s="14">
        <v>7303</v>
      </c>
    </row>
    <row r="10" spans="1:16" x14ac:dyDescent="0.3">
      <c r="A10" s="22" t="s">
        <v>76</v>
      </c>
      <c r="B10" s="23"/>
      <c r="C10" s="16">
        <v>2024</v>
      </c>
      <c r="D10" s="16">
        <v>418</v>
      </c>
      <c r="E10" s="16">
        <v>3</v>
      </c>
      <c r="F10" s="14">
        <v>1201</v>
      </c>
      <c r="G10" s="16">
        <v>1</v>
      </c>
      <c r="H10" s="14">
        <v>1201</v>
      </c>
      <c r="I10" s="24">
        <v>2.67</v>
      </c>
      <c r="J10" s="24">
        <v>14.76</v>
      </c>
      <c r="K10" s="25">
        <v>6431</v>
      </c>
      <c r="M10" s="22" t="s">
        <v>76</v>
      </c>
      <c r="N10" s="23"/>
      <c r="O10" s="14">
        <v>1912</v>
      </c>
      <c r="P10" s="14">
        <v>1445</v>
      </c>
    </row>
    <row r="11" spans="1:16" x14ac:dyDescent="0.3">
      <c r="A11" s="22" t="s">
        <v>77</v>
      </c>
      <c r="B11" s="23"/>
      <c r="C11" s="16">
        <v>2024</v>
      </c>
      <c r="D11" s="25">
        <v>1083</v>
      </c>
      <c r="E11" s="16">
        <v>3</v>
      </c>
      <c r="F11" s="14">
        <v>1062</v>
      </c>
      <c r="G11" s="16">
        <v>1</v>
      </c>
      <c r="H11" s="14">
        <v>1062</v>
      </c>
      <c r="I11" s="24">
        <v>1.96</v>
      </c>
      <c r="J11" s="24">
        <v>12.77</v>
      </c>
      <c r="K11" s="25">
        <v>6370</v>
      </c>
      <c r="M11" s="22" t="s">
        <v>77</v>
      </c>
      <c r="N11" s="23"/>
      <c r="O11" s="14">
        <v>1725</v>
      </c>
      <c r="P11" s="14">
        <v>1238</v>
      </c>
    </row>
    <row r="12" spans="1:16" x14ac:dyDescent="0.3">
      <c r="A12" s="22" t="s">
        <v>78</v>
      </c>
      <c r="B12" s="23"/>
      <c r="C12" s="16">
        <v>2024</v>
      </c>
      <c r="D12" s="16">
        <v>377</v>
      </c>
      <c r="E12" s="16">
        <v>3</v>
      </c>
      <c r="F12" s="14">
        <v>2736</v>
      </c>
      <c r="G12" s="16">
        <v>1.04</v>
      </c>
      <c r="H12" s="14">
        <v>2845</v>
      </c>
      <c r="I12" s="24">
        <v>6.11</v>
      </c>
      <c r="J12" s="24">
        <v>28.89</v>
      </c>
      <c r="K12" s="25">
        <v>7124</v>
      </c>
      <c r="M12" s="22" t="s">
        <v>78</v>
      </c>
      <c r="N12" s="23"/>
      <c r="O12" s="14">
        <v>3422</v>
      </c>
      <c r="P12" s="14">
        <v>2953</v>
      </c>
    </row>
    <row r="13" spans="1:16" x14ac:dyDescent="0.3">
      <c r="A13" s="22" t="s">
        <v>79</v>
      </c>
      <c r="B13" s="23"/>
      <c r="C13" s="16">
        <v>2023</v>
      </c>
      <c r="D13" s="16">
        <v>21</v>
      </c>
      <c r="E13" s="16">
        <v>2</v>
      </c>
      <c r="F13" s="14">
        <v>2018</v>
      </c>
      <c r="G13" s="16">
        <v>1</v>
      </c>
      <c r="H13" s="14">
        <v>2018</v>
      </c>
      <c r="I13" s="24">
        <v>5.96</v>
      </c>
      <c r="J13" s="24">
        <v>36.81</v>
      </c>
      <c r="K13" s="25">
        <v>8295</v>
      </c>
      <c r="M13" s="22" t="s">
        <v>79</v>
      </c>
      <c r="N13" s="23"/>
      <c r="O13" s="14">
        <v>2769</v>
      </c>
      <c r="P13" s="14">
        <v>2125</v>
      </c>
    </row>
    <row r="14" spans="1:16" x14ac:dyDescent="0.3">
      <c r="A14" s="22" t="s">
        <v>80</v>
      </c>
      <c r="B14" s="23"/>
      <c r="C14" s="16">
        <v>2023</v>
      </c>
      <c r="D14" s="16">
        <v>105</v>
      </c>
      <c r="E14" s="16">
        <v>2</v>
      </c>
      <c r="F14" s="14">
        <v>1294</v>
      </c>
      <c r="G14" s="16">
        <v>1</v>
      </c>
      <c r="H14" s="14">
        <v>1294</v>
      </c>
      <c r="I14" s="24">
        <v>4.92</v>
      </c>
      <c r="J14" s="24">
        <v>17.059999999999999</v>
      </c>
      <c r="K14" s="25">
        <v>9124</v>
      </c>
      <c r="M14" s="22" t="s">
        <v>81</v>
      </c>
      <c r="N14" s="23"/>
      <c r="O14" s="14">
        <v>1864</v>
      </c>
      <c r="P14" s="14">
        <v>1405</v>
      </c>
    </row>
    <row r="15" spans="1:16" x14ac:dyDescent="0.3">
      <c r="A15" s="22" t="s">
        <v>82</v>
      </c>
      <c r="B15" s="23"/>
      <c r="C15" s="16">
        <v>2023</v>
      </c>
      <c r="D15" s="16">
        <v>237</v>
      </c>
      <c r="E15" s="16">
        <v>2</v>
      </c>
      <c r="F15" s="14">
        <v>785</v>
      </c>
      <c r="G15" s="16">
        <v>1</v>
      </c>
      <c r="H15" s="14">
        <v>785</v>
      </c>
      <c r="I15" s="24">
        <v>4.71</v>
      </c>
      <c r="J15" s="24">
        <v>7.33</v>
      </c>
      <c r="K15" s="25">
        <v>9905</v>
      </c>
      <c r="M15" s="22" t="s">
        <v>82</v>
      </c>
      <c r="N15" s="23"/>
      <c r="O15" s="14">
        <v>1144</v>
      </c>
      <c r="P15" s="14">
        <v>854</v>
      </c>
    </row>
    <row r="16" spans="1:16" x14ac:dyDescent="0.3">
      <c r="A16" s="22" t="s">
        <v>83</v>
      </c>
      <c r="B16" s="23"/>
      <c r="C16" s="16">
        <v>2024</v>
      </c>
      <c r="D16" s="16">
        <v>10</v>
      </c>
      <c r="E16" s="16">
        <v>3</v>
      </c>
      <c r="F16" s="14">
        <v>6639</v>
      </c>
      <c r="G16" s="16">
        <v>1.0900000000000001</v>
      </c>
      <c r="H16" s="14">
        <v>7224</v>
      </c>
      <c r="I16" s="24">
        <v>0.62</v>
      </c>
      <c r="J16" s="24">
        <v>32.229999999999997</v>
      </c>
      <c r="K16" s="25">
        <v>6469</v>
      </c>
      <c r="M16" s="22" t="s">
        <v>83</v>
      </c>
      <c r="N16" s="23"/>
      <c r="O16" s="14">
        <v>9201</v>
      </c>
      <c r="P16" s="14">
        <v>7498</v>
      </c>
    </row>
    <row r="17" spans="1:19" x14ac:dyDescent="0.3">
      <c r="A17" s="22" t="s">
        <v>84</v>
      </c>
      <c r="B17" s="23"/>
      <c r="C17" s="16">
        <v>2027</v>
      </c>
      <c r="D17" s="25">
        <v>2156</v>
      </c>
      <c r="E17" s="16">
        <v>6</v>
      </c>
      <c r="F17" s="14">
        <v>6695</v>
      </c>
      <c r="G17" s="16">
        <v>1.05</v>
      </c>
      <c r="H17" s="14">
        <v>7030</v>
      </c>
      <c r="I17" s="24">
        <v>2.48</v>
      </c>
      <c r="J17" s="24">
        <v>127.35</v>
      </c>
      <c r="K17" s="25">
        <v>10443</v>
      </c>
      <c r="M17" s="22" t="s">
        <v>84</v>
      </c>
      <c r="N17" s="23"/>
      <c r="O17" s="16" t="s">
        <v>73</v>
      </c>
      <c r="P17" s="14">
        <v>7430</v>
      </c>
    </row>
    <row r="18" spans="1:19" x14ac:dyDescent="0.3">
      <c r="A18" s="22" t="s">
        <v>85</v>
      </c>
      <c r="B18" s="23"/>
      <c r="C18" s="16">
        <v>2028</v>
      </c>
      <c r="D18" s="16">
        <v>600</v>
      </c>
      <c r="E18" s="16">
        <v>6</v>
      </c>
      <c r="F18" s="14">
        <v>6861</v>
      </c>
      <c r="G18" s="16">
        <v>1.1000000000000001</v>
      </c>
      <c r="H18" s="14">
        <v>7547</v>
      </c>
      <c r="I18" s="24">
        <v>3.14</v>
      </c>
      <c r="J18" s="24">
        <v>99.46</v>
      </c>
      <c r="K18" s="25">
        <v>10443</v>
      </c>
      <c r="M18" s="22" t="s">
        <v>85</v>
      </c>
      <c r="N18" s="23"/>
      <c r="O18" s="16" t="s">
        <v>73</v>
      </c>
      <c r="P18" s="14">
        <v>8040</v>
      </c>
    </row>
    <row r="19" spans="1:19" x14ac:dyDescent="0.3">
      <c r="A19" s="22" t="s">
        <v>86</v>
      </c>
      <c r="B19" s="23"/>
      <c r="C19" s="16">
        <v>2024</v>
      </c>
      <c r="D19" s="16">
        <v>2</v>
      </c>
      <c r="E19" s="16">
        <v>3</v>
      </c>
      <c r="F19" s="14">
        <v>1731</v>
      </c>
      <c r="G19" s="16">
        <v>1</v>
      </c>
      <c r="H19" s="14">
        <v>1731</v>
      </c>
      <c r="I19" s="24">
        <v>9.01</v>
      </c>
      <c r="J19" s="24">
        <v>20.27</v>
      </c>
      <c r="K19" s="25">
        <v>8923</v>
      </c>
      <c r="M19" s="22" t="s">
        <v>86</v>
      </c>
      <c r="N19" s="23"/>
      <c r="O19" s="14">
        <v>2754</v>
      </c>
      <c r="P19" s="14">
        <v>2081</v>
      </c>
    </row>
    <row r="20" spans="1:19" x14ac:dyDescent="0.3">
      <c r="A20" s="22" t="s">
        <v>87</v>
      </c>
      <c r="B20" s="23"/>
      <c r="C20" s="16">
        <v>2023</v>
      </c>
      <c r="D20" s="16">
        <v>1</v>
      </c>
      <c r="E20" s="16">
        <v>2</v>
      </c>
      <c r="F20" s="14">
        <v>2079</v>
      </c>
      <c r="G20" s="16">
        <v>1</v>
      </c>
      <c r="H20" s="14">
        <v>2079</v>
      </c>
      <c r="I20" s="24">
        <v>9.01</v>
      </c>
      <c r="J20" s="24">
        <v>20.27</v>
      </c>
      <c r="K20" s="25">
        <v>9907</v>
      </c>
      <c r="M20" s="22" t="s">
        <v>87</v>
      </c>
      <c r="N20" s="23"/>
      <c r="O20" s="14">
        <v>2994</v>
      </c>
      <c r="P20" s="14">
        <v>2257</v>
      </c>
    </row>
    <row r="21" spans="1:19" x14ac:dyDescent="0.3">
      <c r="A21" s="22" t="s">
        <v>88</v>
      </c>
      <c r="B21" s="23"/>
      <c r="C21" s="16">
        <v>2022</v>
      </c>
      <c r="D21" s="16">
        <v>50</v>
      </c>
      <c r="E21" s="16">
        <v>1</v>
      </c>
      <c r="F21" s="14">
        <v>1316</v>
      </c>
      <c r="G21" s="16">
        <v>1</v>
      </c>
      <c r="H21" s="14">
        <v>1316</v>
      </c>
      <c r="I21" s="24">
        <v>0</v>
      </c>
      <c r="J21" s="24">
        <v>25.96</v>
      </c>
      <c r="K21" s="16" t="s">
        <v>73</v>
      </c>
      <c r="M21" s="22" t="s">
        <v>88</v>
      </c>
      <c r="N21" s="23"/>
      <c r="O21" s="14">
        <v>1351</v>
      </c>
      <c r="P21" s="14">
        <v>1321</v>
      </c>
      <c r="R21">
        <v>1475</v>
      </c>
      <c r="S21">
        <f>(R21-P21)/P21</f>
        <v>0.1165783497350492</v>
      </c>
    </row>
    <row r="22" spans="1:19" x14ac:dyDescent="0.3">
      <c r="A22" s="22" t="s">
        <v>31</v>
      </c>
      <c r="B22" s="23"/>
      <c r="C22" s="16">
        <v>2025</v>
      </c>
      <c r="D22" s="16">
        <v>50</v>
      </c>
      <c r="E22" s="16">
        <v>4</v>
      </c>
      <c r="F22" s="14">
        <v>4524</v>
      </c>
      <c r="G22" s="16">
        <v>1</v>
      </c>
      <c r="H22" s="14">
        <v>4525</v>
      </c>
      <c r="I22" s="24">
        <v>5.0599999999999996</v>
      </c>
      <c r="J22" s="24">
        <v>131.62</v>
      </c>
      <c r="K22" s="25">
        <v>13500</v>
      </c>
      <c r="M22" s="22" t="s">
        <v>31</v>
      </c>
      <c r="N22" s="23"/>
      <c r="O22" s="14">
        <v>7292</v>
      </c>
      <c r="P22" s="14">
        <v>5389</v>
      </c>
    </row>
    <row r="23" spans="1:19" x14ac:dyDescent="0.3">
      <c r="A23" s="22" t="s">
        <v>89</v>
      </c>
      <c r="B23" s="23"/>
      <c r="C23" s="16">
        <v>2025</v>
      </c>
      <c r="D23" s="16">
        <v>50</v>
      </c>
      <c r="E23" s="16">
        <v>4</v>
      </c>
      <c r="F23" s="14">
        <v>3076</v>
      </c>
      <c r="G23" s="16">
        <v>1</v>
      </c>
      <c r="H23" s="14">
        <v>3076</v>
      </c>
      <c r="I23" s="24">
        <v>1.21</v>
      </c>
      <c r="J23" s="24">
        <v>143.22</v>
      </c>
      <c r="K23" s="25">
        <v>8813</v>
      </c>
      <c r="M23" s="22" t="s">
        <v>89</v>
      </c>
      <c r="N23" s="23"/>
      <c r="O23" s="16" t="s">
        <v>73</v>
      </c>
      <c r="P23" s="16" t="s">
        <v>73</v>
      </c>
    </row>
    <row r="24" spans="1:19" x14ac:dyDescent="0.3">
      <c r="A24" s="22" t="s">
        <v>90</v>
      </c>
      <c r="B24" s="23"/>
      <c r="C24" s="16">
        <v>2025</v>
      </c>
      <c r="D24" s="16">
        <v>100</v>
      </c>
      <c r="E24" s="16">
        <v>4</v>
      </c>
      <c r="F24" s="14">
        <v>3083</v>
      </c>
      <c r="G24" s="16">
        <v>1</v>
      </c>
      <c r="H24" s="14">
        <v>3083</v>
      </c>
      <c r="I24" s="24">
        <v>1.46</v>
      </c>
      <c r="J24" s="24">
        <v>43.78</v>
      </c>
      <c r="K24" s="16" t="s">
        <v>73</v>
      </c>
      <c r="M24" s="22" t="s">
        <v>90</v>
      </c>
      <c r="N24" s="23"/>
      <c r="O24" s="16" t="s">
        <v>73</v>
      </c>
      <c r="P24" s="14">
        <v>4144</v>
      </c>
    </row>
    <row r="25" spans="1:19" x14ac:dyDescent="0.3">
      <c r="A25" s="22" t="s">
        <v>91</v>
      </c>
      <c r="B25" s="23"/>
      <c r="C25" s="16">
        <v>2024</v>
      </c>
      <c r="D25" s="16">
        <v>200</v>
      </c>
      <c r="E25" s="16">
        <v>3</v>
      </c>
      <c r="F25" s="14">
        <v>1718</v>
      </c>
      <c r="G25" s="16">
        <v>1</v>
      </c>
      <c r="H25" s="14">
        <v>1718</v>
      </c>
      <c r="I25" s="24">
        <v>0</v>
      </c>
      <c r="J25" s="24">
        <v>27.57</v>
      </c>
      <c r="K25" s="16" t="s">
        <v>73</v>
      </c>
      <c r="M25" s="22" t="s">
        <v>91</v>
      </c>
      <c r="N25" s="23"/>
      <c r="O25" s="16" t="s">
        <v>73</v>
      </c>
      <c r="P25" s="14">
        <v>2281</v>
      </c>
    </row>
    <row r="26" spans="1:19" x14ac:dyDescent="0.3">
      <c r="A26" s="22" t="s">
        <v>92</v>
      </c>
      <c r="B26" s="23"/>
      <c r="C26" s="16">
        <v>2025</v>
      </c>
      <c r="D26" s="16">
        <v>400</v>
      </c>
      <c r="E26" s="16">
        <v>4</v>
      </c>
      <c r="F26" s="14">
        <v>4833</v>
      </c>
      <c r="G26" s="16">
        <v>1.25</v>
      </c>
      <c r="H26" s="14">
        <v>6041</v>
      </c>
      <c r="I26" s="24">
        <v>0</v>
      </c>
      <c r="J26" s="24">
        <v>115.16</v>
      </c>
      <c r="K26" s="16" t="s">
        <v>73</v>
      </c>
      <c r="M26" s="22" t="s">
        <v>92</v>
      </c>
      <c r="N26" s="23"/>
      <c r="O26" s="14">
        <v>6079</v>
      </c>
      <c r="P26" s="14">
        <v>7370</v>
      </c>
    </row>
    <row r="27" spans="1:19" x14ac:dyDescent="0.3">
      <c r="A27" s="22" t="s">
        <v>93</v>
      </c>
      <c r="B27" s="23"/>
      <c r="C27" s="16">
        <v>2024</v>
      </c>
      <c r="D27" s="16">
        <v>115</v>
      </c>
      <c r="E27" s="16">
        <v>3</v>
      </c>
      <c r="F27" s="14">
        <v>7895</v>
      </c>
      <c r="G27" s="16">
        <v>1</v>
      </c>
      <c r="H27" s="14">
        <v>7895</v>
      </c>
      <c r="I27" s="24">
        <v>0</v>
      </c>
      <c r="J27" s="24">
        <v>89.39</v>
      </c>
      <c r="K27" s="16" t="s">
        <v>73</v>
      </c>
      <c r="M27" s="22" t="s">
        <v>93</v>
      </c>
      <c r="N27" s="23"/>
      <c r="O27" s="16" t="s">
        <v>73</v>
      </c>
      <c r="P27" s="16" t="s">
        <v>73</v>
      </c>
    </row>
    <row r="28" spans="1:19" x14ac:dyDescent="0.3">
      <c r="A28" s="22" t="s">
        <v>94</v>
      </c>
      <c r="B28" s="23"/>
      <c r="C28" s="16">
        <v>2023</v>
      </c>
      <c r="D28" s="16">
        <v>150</v>
      </c>
      <c r="E28" s="16">
        <v>2</v>
      </c>
      <c r="F28" s="14">
        <v>1327</v>
      </c>
      <c r="G28" s="16">
        <v>1</v>
      </c>
      <c r="H28" s="14">
        <v>1327</v>
      </c>
      <c r="I28" s="24">
        <v>0</v>
      </c>
      <c r="J28" s="24">
        <v>15.97</v>
      </c>
      <c r="K28" s="16" t="s">
        <v>73</v>
      </c>
      <c r="M28" s="22" t="s">
        <v>94</v>
      </c>
      <c r="N28" s="23"/>
      <c r="O28" s="14">
        <v>1612</v>
      </c>
      <c r="P28" s="14">
        <v>1357</v>
      </c>
    </row>
    <row r="29" spans="1:19" x14ac:dyDescent="0.3">
      <c r="A29" s="22" t="s">
        <v>95</v>
      </c>
      <c r="B29" s="23"/>
      <c r="C29" s="16">
        <v>2023</v>
      </c>
      <c r="D29" s="16">
        <v>150</v>
      </c>
      <c r="E29" s="16">
        <v>2</v>
      </c>
      <c r="F29" s="14">
        <v>1748</v>
      </c>
      <c r="G29" s="16">
        <v>1</v>
      </c>
      <c r="H29" s="14">
        <v>1748</v>
      </c>
      <c r="I29" s="24">
        <v>0</v>
      </c>
      <c r="J29" s="24">
        <v>33.67</v>
      </c>
      <c r="K29" s="16" t="s">
        <v>73</v>
      </c>
      <c r="M29" s="22" t="s">
        <v>95</v>
      </c>
      <c r="N29" s="23"/>
      <c r="O29" s="14">
        <v>2078</v>
      </c>
      <c r="P29" s="14">
        <v>1796</v>
      </c>
    </row>
    <row r="31" spans="1:19" x14ac:dyDescent="0.3">
      <c r="A31" s="106" t="s">
        <v>96</v>
      </c>
      <c r="B31" s="106"/>
    </row>
    <row r="32" spans="1:19" x14ac:dyDescent="0.3">
      <c r="A32" t="s">
        <v>97</v>
      </c>
      <c r="B32" s="103" t="s">
        <v>98</v>
      </c>
      <c r="C32" s="103"/>
      <c r="D32" s="103"/>
      <c r="E32" s="103"/>
      <c r="F32" s="103"/>
      <c r="G32" s="103"/>
      <c r="H32" s="103"/>
      <c r="I32" s="103"/>
      <c r="J32" s="103"/>
      <c r="K32" s="103"/>
      <c r="M32" s="26"/>
      <c r="N32" s="26"/>
    </row>
    <row r="33" spans="1:14" x14ac:dyDescent="0.3">
      <c r="A33" t="s">
        <v>99</v>
      </c>
      <c r="B33" s="103" t="s">
        <v>100</v>
      </c>
      <c r="C33" s="103"/>
      <c r="D33" s="103"/>
      <c r="E33" s="103"/>
      <c r="F33" s="103"/>
      <c r="G33" s="103"/>
      <c r="H33" s="103"/>
      <c r="I33" s="103"/>
      <c r="J33" s="103"/>
      <c r="K33" s="103"/>
      <c r="M33" s="26"/>
      <c r="N33" s="26"/>
    </row>
    <row r="34" spans="1:14" x14ac:dyDescent="0.3">
      <c r="A34" t="s">
        <v>101</v>
      </c>
      <c r="B34" t="s">
        <v>102</v>
      </c>
    </row>
    <row r="35" spans="1:14" x14ac:dyDescent="0.3">
      <c r="A35" t="s">
        <v>103</v>
      </c>
      <c r="B35" t="s">
        <v>104</v>
      </c>
    </row>
    <row r="36" spans="1:14" x14ac:dyDescent="0.3">
      <c r="B36" t="s">
        <v>105</v>
      </c>
    </row>
    <row r="37" spans="1:14" x14ac:dyDescent="0.3">
      <c r="A37" t="s">
        <v>106</v>
      </c>
      <c r="B37" s="103" t="s">
        <v>107</v>
      </c>
      <c r="C37" s="103"/>
      <c r="D37" s="103"/>
      <c r="E37" s="103"/>
      <c r="F37" s="103"/>
      <c r="G37" s="103"/>
      <c r="H37" s="103"/>
      <c r="I37" s="103"/>
      <c r="J37" s="103"/>
      <c r="K37" s="103"/>
      <c r="M37" s="26"/>
      <c r="N37" s="26"/>
    </row>
    <row r="38" spans="1:14" x14ac:dyDescent="0.3">
      <c r="B38" s="26" t="s">
        <v>108</v>
      </c>
      <c r="C38" s="26"/>
      <c r="D38" s="26"/>
      <c r="E38" s="26"/>
      <c r="F38" s="26"/>
      <c r="G38" s="26"/>
      <c r="H38" s="26"/>
      <c r="I38" s="26"/>
      <c r="J38" s="26"/>
      <c r="K38" s="26"/>
      <c r="M38" s="26"/>
      <c r="N38" s="26"/>
    </row>
    <row r="39" spans="1:14" x14ac:dyDescent="0.3">
      <c r="B39" s="26" t="s">
        <v>109</v>
      </c>
      <c r="C39" s="26"/>
      <c r="D39" s="26"/>
      <c r="E39" s="26"/>
      <c r="F39" s="26"/>
      <c r="G39" s="26"/>
      <c r="H39" s="26"/>
      <c r="I39" s="26"/>
      <c r="J39" s="26"/>
      <c r="K39" s="26"/>
      <c r="M39" s="26"/>
      <c r="N39" s="26"/>
    </row>
    <row r="40" spans="1:14" x14ac:dyDescent="0.3">
      <c r="B40" s="26" t="s">
        <v>110</v>
      </c>
      <c r="C40" s="26"/>
      <c r="D40" s="26"/>
      <c r="E40" s="26"/>
      <c r="F40" s="26"/>
      <c r="G40" s="26"/>
      <c r="H40" s="26"/>
      <c r="I40" s="26"/>
      <c r="J40" s="26"/>
      <c r="K40" s="26"/>
      <c r="M40" s="26"/>
      <c r="N40" s="26"/>
    </row>
    <row r="41" spans="1:14" x14ac:dyDescent="0.3">
      <c r="B41" s="26" t="s">
        <v>111</v>
      </c>
      <c r="C41" s="26"/>
      <c r="D41" s="26"/>
      <c r="E41" s="26"/>
      <c r="F41" s="26"/>
      <c r="G41" s="26"/>
      <c r="H41" s="26"/>
      <c r="I41" s="26"/>
      <c r="J41" s="26"/>
      <c r="K41" s="26"/>
      <c r="M41" s="26"/>
      <c r="N41" s="26"/>
    </row>
    <row r="42" spans="1:14" x14ac:dyDescent="0.3">
      <c r="A42" t="s">
        <v>112</v>
      </c>
      <c r="B42" s="103" t="s">
        <v>113</v>
      </c>
      <c r="C42" s="103"/>
      <c r="D42" s="103"/>
      <c r="E42" s="103"/>
      <c r="F42" s="103"/>
      <c r="G42" s="103"/>
      <c r="H42" s="103"/>
      <c r="I42" s="103"/>
      <c r="J42" s="103"/>
      <c r="K42" s="103"/>
      <c r="M42" s="26"/>
      <c r="N42" s="26"/>
    </row>
    <row r="43" spans="1:14" x14ac:dyDescent="0.3">
      <c r="A43" t="s">
        <v>114</v>
      </c>
      <c r="B43" t="s">
        <v>115</v>
      </c>
    </row>
    <row r="44" spans="1:14" x14ac:dyDescent="0.3">
      <c r="B44" t="s">
        <v>116</v>
      </c>
    </row>
    <row r="45" spans="1:14" s="27" customFormat="1" x14ac:dyDescent="0.3">
      <c r="B45" s="28" t="s">
        <v>117</v>
      </c>
      <c r="C45" s="28"/>
      <c r="D45" s="28"/>
      <c r="E45" s="28"/>
      <c r="F45" s="28"/>
      <c r="G45" s="28"/>
      <c r="H45" s="28"/>
      <c r="I45" s="28"/>
      <c r="J45" s="28"/>
      <c r="K45" s="28"/>
      <c r="L45"/>
      <c r="M45" s="28"/>
      <c r="N45" s="28"/>
    </row>
    <row r="46" spans="1:14" s="27" customFormat="1" x14ac:dyDescent="0.3">
      <c r="B46" s="28" t="s">
        <v>118</v>
      </c>
      <c r="C46" s="28"/>
      <c r="D46" s="28"/>
      <c r="E46" s="28"/>
      <c r="F46" s="28"/>
      <c r="G46" s="28"/>
      <c r="H46" s="28"/>
      <c r="I46" s="28"/>
      <c r="J46" s="28"/>
      <c r="K46" s="28"/>
      <c r="L46"/>
      <c r="M46" s="28"/>
      <c r="N46" s="28"/>
    </row>
    <row r="47" spans="1:14" s="27" customFormat="1" x14ac:dyDescent="0.3">
      <c r="B47" s="27" t="s">
        <v>119</v>
      </c>
      <c r="C47" s="28"/>
      <c r="D47" s="28"/>
      <c r="E47" s="28"/>
      <c r="F47" s="28"/>
      <c r="G47" s="28"/>
      <c r="H47" s="28"/>
      <c r="I47" s="28"/>
      <c r="J47" s="28"/>
      <c r="K47" s="28"/>
      <c r="L47"/>
      <c r="M47" s="28"/>
      <c r="N47" s="28"/>
    </row>
    <row r="48" spans="1:14" x14ac:dyDescent="0.3">
      <c r="A48" t="s">
        <v>120</v>
      </c>
      <c r="B48" t="s">
        <v>121</v>
      </c>
    </row>
    <row r="49" spans="1:2" x14ac:dyDescent="0.3">
      <c r="A49" t="s">
        <v>122</v>
      </c>
      <c r="B49" t="s">
        <v>123</v>
      </c>
    </row>
    <row r="50" spans="1:2" x14ac:dyDescent="0.3">
      <c r="A50" t="s">
        <v>124</v>
      </c>
      <c r="B50" s="28" t="s">
        <v>125</v>
      </c>
    </row>
    <row r="51" spans="1:2" x14ac:dyDescent="0.3">
      <c r="B51" s="28" t="s">
        <v>126</v>
      </c>
    </row>
    <row r="52" spans="1:2" x14ac:dyDescent="0.3">
      <c r="A52" t="s">
        <v>127</v>
      </c>
      <c r="B52" t="s">
        <v>128</v>
      </c>
    </row>
  </sheetData>
  <mergeCells count="8">
    <mergeCell ref="B37:K37"/>
    <mergeCell ref="B42:K42"/>
    <mergeCell ref="A4:B6"/>
    <mergeCell ref="M4:N6"/>
    <mergeCell ref="O4:P5"/>
    <mergeCell ref="A31:B31"/>
    <mergeCell ref="B32:K32"/>
    <mergeCell ref="B33:K33"/>
  </mergeCells>
  <hyperlinks>
    <hyperlink ref="A2" r:id="rId1" xr:uid="{175952A4-A50D-4F1F-B9A6-F220945DC34C}"/>
    <hyperlink ref="M2" r:id="rId2" xr:uid="{F24A1957-0CF7-44BD-AC4D-34F5B8385F1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EEA3D5-371C-431D-AC46-772A09EA55F8}">
  <dimension ref="B1:P57"/>
  <sheetViews>
    <sheetView showGridLines="0" workbookViewId="0">
      <selection activeCell="B22" sqref="B22"/>
    </sheetView>
  </sheetViews>
  <sheetFormatPr defaultRowHeight="14.4" x14ac:dyDescent="0.3"/>
  <cols>
    <col min="1" max="1" width="3.77734375" customWidth="1"/>
    <col min="2" max="2" width="41.33203125" customWidth="1"/>
    <col min="3" max="3" width="10.21875" bestFit="1" customWidth="1"/>
    <col min="4" max="4" width="9.77734375" bestFit="1" customWidth="1"/>
    <col min="5" max="5" width="31.5546875" bestFit="1" customWidth="1"/>
    <col min="6" max="6" width="13.109375" customWidth="1"/>
    <col min="7" max="7" width="12.21875" customWidth="1"/>
    <col min="8" max="8" width="13.44140625" customWidth="1"/>
    <col min="14" max="14" width="38" bestFit="1" customWidth="1"/>
    <col min="15" max="16" width="9.21875" customWidth="1"/>
  </cols>
  <sheetData>
    <row r="1" spans="2:16" x14ac:dyDescent="0.3">
      <c r="B1" s="1" t="s">
        <v>251</v>
      </c>
      <c r="N1" t="s">
        <v>250</v>
      </c>
    </row>
    <row r="3" spans="2:16" x14ac:dyDescent="0.3">
      <c r="B3" s="104" t="s">
        <v>240</v>
      </c>
      <c r="C3" s="104"/>
      <c r="D3" s="104"/>
      <c r="E3" s="104" t="s">
        <v>247</v>
      </c>
      <c r="F3" s="104"/>
      <c r="G3" s="104"/>
      <c r="H3" s="104"/>
      <c r="I3" s="104" t="s">
        <v>246</v>
      </c>
      <c r="J3" s="104"/>
      <c r="K3" s="107" t="s">
        <v>248</v>
      </c>
      <c r="L3" s="108"/>
      <c r="O3" s="107" t="s">
        <v>248</v>
      </c>
      <c r="P3" s="108"/>
    </row>
    <row r="4" spans="2:16" ht="14.4" customHeight="1" x14ac:dyDescent="0.3">
      <c r="B4" s="92"/>
      <c r="C4" s="5" t="s">
        <v>137</v>
      </c>
      <c r="D4" s="5" t="s">
        <v>137</v>
      </c>
      <c r="E4" s="104" t="s">
        <v>44</v>
      </c>
      <c r="F4" s="5" t="s">
        <v>47</v>
      </c>
      <c r="G4" s="5" t="s">
        <v>48</v>
      </c>
      <c r="H4" s="5" t="s">
        <v>49</v>
      </c>
      <c r="I4" s="105" t="s">
        <v>53</v>
      </c>
      <c r="J4" s="105"/>
      <c r="K4" s="109"/>
      <c r="L4" s="110"/>
      <c r="N4" s="100"/>
      <c r="O4" s="109"/>
      <c r="P4" s="110"/>
    </row>
    <row r="5" spans="2:16" x14ac:dyDescent="0.3">
      <c r="B5" s="93" t="s">
        <v>226</v>
      </c>
      <c r="C5" s="94" t="s">
        <v>238</v>
      </c>
      <c r="D5" s="94" t="s">
        <v>239</v>
      </c>
      <c r="E5" s="104"/>
      <c r="F5" s="9" t="s">
        <v>9</v>
      </c>
      <c r="G5" s="9" t="s">
        <v>58</v>
      </c>
      <c r="H5" s="9" t="s">
        <v>9</v>
      </c>
      <c r="I5" s="105"/>
      <c r="J5" s="105"/>
      <c r="K5" s="111"/>
      <c r="L5" s="112"/>
      <c r="N5" s="101" t="s">
        <v>226</v>
      </c>
      <c r="O5" s="111"/>
      <c r="P5" s="112"/>
    </row>
    <row r="6" spans="2:16" x14ac:dyDescent="0.3">
      <c r="B6" s="95" t="s">
        <v>44</v>
      </c>
      <c r="C6" s="95">
        <v>2020</v>
      </c>
      <c r="D6" s="95">
        <v>2020</v>
      </c>
      <c r="E6" s="104"/>
      <c r="F6" s="10" t="s">
        <v>16</v>
      </c>
      <c r="G6" s="10" t="s">
        <v>245</v>
      </c>
      <c r="H6" s="10" t="s">
        <v>16</v>
      </c>
      <c r="I6" s="8" t="s">
        <v>70</v>
      </c>
      <c r="J6" s="8" t="s">
        <v>71</v>
      </c>
      <c r="K6" s="8" t="s">
        <v>70</v>
      </c>
      <c r="L6" s="8" t="s">
        <v>71</v>
      </c>
      <c r="N6" s="95" t="s">
        <v>44</v>
      </c>
      <c r="O6" s="8" t="s">
        <v>70</v>
      </c>
      <c r="P6" s="8" t="s">
        <v>71</v>
      </c>
    </row>
    <row r="7" spans="2:16" x14ac:dyDescent="0.3">
      <c r="B7" s="90" t="s">
        <v>17</v>
      </c>
      <c r="C7" s="91">
        <v>1411.7596420724258</v>
      </c>
      <c r="D7" s="91">
        <v>1411.7596420724258</v>
      </c>
      <c r="E7" s="22" t="s">
        <v>17</v>
      </c>
      <c r="F7" s="14">
        <v>1718</v>
      </c>
      <c r="G7" s="16">
        <v>1</v>
      </c>
      <c r="H7" s="14">
        <v>1718</v>
      </c>
      <c r="I7" s="16" t="s">
        <v>73</v>
      </c>
      <c r="J7" s="14">
        <v>2281</v>
      </c>
      <c r="K7" s="99" t="str">
        <f>IF(I7="NA","",(I7-C7)/C7)</f>
        <v/>
      </c>
      <c r="L7" s="99">
        <f>IF(J7="NA","",(J7-D7)/D7)</f>
        <v>0.6157141286823814</v>
      </c>
      <c r="N7" s="102" t="s">
        <v>17</v>
      </c>
      <c r="O7" s="99" t="s">
        <v>249</v>
      </c>
      <c r="P7" s="99">
        <v>0.6157141286823814</v>
      </c>
    </row>
    <row r="8" spans="2:16" x14ac:dyDescent="0.3">
      <c r="B8" s="90" t="s">
        <v>227</v>
      </c>
      <c r="C8" s="91">
        <v>3055</v>
      </c>
      <c r="D8" s="91">
        <v>3055</v>
      </c>
      <c r="E8" s="22" t="s">
        <v>241</v>
      </c>
      <c r="F8" s="14">
        <v>4833</v>
      </c>
      <c r="G8" s="16">
        <v>1.25</v>
      </c>
      <c r="H8" s="14">
        <v>6041</v>
      </c>
      <c r="I8" s="14">
        <v>6079</v>
      </c>
      <c r="J8" s="14">
        <v>7370</v>
      </c>
      <c r="K8" s="99">
        <f t="shared" ref="K8:K9" si="0">IF(I8="NA","",(I8-C8)/C8)</f>
        <v>0.98985270049099838</v>
      </c>
      <c r="L8" s="99">
        <f t="shared" ref="L8:L9" si="1">IF(J8="NA","",(J8-D8)/D8)</f>
        <v>1.4124386252045826</v>
      </c>
      <c r="N8" s="102" t="s">
        <v>227</v>
      </c>
      <c r="O8" s="99">
        <v>0.98985270049099838</v>
      </c>
      <c r="P8" s="99">
        <v>1.4124386252045826</v>
      </c>
    </row>
    <row r="9" spans="2:16" x14ac:dyDescent="0.3">
      <c r="B9" s="90" t="s">
        <v>228</v>
      </c>
      <c r="C9" s="91">
        <v>1183.1201812440895</v>
      </c>
      <c r="D9" s="91">
        <v>1183.1201812440895</v>
      </c>
      <c r="E9" s="22" t="s">
        <v>242</v>
      </c>
      <c r="F9" s="14">
        <v>1327</v>
      </c>
      <c r="G9" s="16">
        <v>1</v>
      </c>
      <c r="H9" s="14">
        <v>1327</v>
      </c>
      <c r="I9" s="14">
        <v>1612</v>
      </c>
      <c r="J9" s="14">
        <v>1357</v>
      </c>
      <c r="K9" s="99">
        <f t="shared" si="0"/>
        <v>0.36249894605375538</v>
      </c>
      <c r="L9" s="99">
        <f t="shared" si="1"/>
        <v>0.14696716488520226</v>
      </c>
      <c r="N9" s="102" t="s">
        <v>228</v>
      </c>
      <c r="O9" s="99">
        <v>0.36249894605375538</v>
      </c>
      <c r="P9" s="99">
        <v>0.14696716488520226</v>
      </c>
    </row>
    <row r="10" spans="2:16" x14ac:dyDescent="0.3">
      <c r="B10" s="90" t="s">
        <v>229</v>
      </c>
      <c r="C10" s="91">
        <v>1948.1078807944748</v>
      </c>
      <c r="D10" s="91">
        <v>1948.107880794475</v>
      </c>
      <c r="E10" s="96"/>
      <c r="F10" s="97"/>
      <c r="G10" s="97"/>
      <c r="H10" s="97"/>
      <c r="I10" s="97"/>
      <c r="J10" s="98"/>
      <c r="K10" s="96"/>
      <c r="L10" s="98"/>
      <c r="N10" s="102" t="s">
        <v>232</v>
      </c>
      <c r="O10" s="99" t="s">
        <v>249</v>
      </c>
      <c r="P10" s="99">
        <v>-5.0516464970152226E-2</v>
      </c>
    </row>
    <row r="11" spans="2:16" x14ac:dyDescent="0.3">
      <c r="B11" s="90" t="s">
        <v>230</v>
      </c>
      <c r="C11" s="91">
        <v>3959.0783750577193</v>
      </c>
      <c r="D11" s="91">
        <v>3959.0783750577193</v>
      </c>
      <c r="E11" s="96"/>
      <c r="F11" s="97"/>
      <c r="G11" s="97"/>
      <c r="H11" s="97"/>
      <c r="I11" s="97"/>
      <c r="J11" s="98"/>
      <c r="K11" s="96"/>
      <c r="L11" s="98"/>
      <c r="N11" s="102" t="s">
        <v>233</v>
      </c>
      <c r="O11" s="99">
        <v>0.222537207654146</v>
      </c>
      <c r="P11" s="99">
        <v>-0.12260807937632884</v>
      </c>
    </row>
    <row r="12" spans="2:16" x14ac:dyDescent="0.3">
      <c r="B12" s="90" t="s">
        <v>231</v>
      </c>
      <c r="C12" s="91">
        <v>2828.8364772916366</v>
      </c>
      <c r="D12" s="91">
        <v>2828.8364772916366</v>
      </c>
      <c r="E12" s="96"/>
      <c r="F12" s="97"/>
      <c r="G12" s="97"/>
      <c r="H12" s="97"/>
      <c r="I12" s="97"/>
      <c r="J12" s="98"/>
      <c r="K12" s="96"/>
      <c r="L12" s="98"/>
      <c r="N12" s="102" t="s">
        <v>234</v>
      </c>
      <c r="O12" s="99">
        <v>0.77186311787072248</v>
      </c>
      <c r="P12" s="99">
        <v>0.3355513307984791</v>
      </c>
    </row>
    <row r="13" spans="2:16" x14ac:dyDescent="0.3">
      <c r="B13" s="90" t="s">
        <v>232</v>
      </c>
      <c r="C13" s="91">
        <v>4364.4780000000001</v>
      </c>
      <c r="D13" s="91">
        <v>4364.4780000000001</v>
      </c>
      <c r="E13" s="22" t="s">
        <v>243</v>
      </c>
      <c r="F13" s="14">
        <v>3083</v>
      </c>
      <c r="G13" s="16">
        <v>1</v>
      </c>
      <c r="H13" s="14">
        <v>3083</v>
      </c>
      <c r="I13" s="16" t="s">
        <v>73</v>
      </c>
      <c r="J13" s="14">
        <v>4144</v>
      </c>
      <c r="K13" s="99" t="str">
        <f t="shared" ref="K13:K16" si="2">IF(I13="NA","",(I13-C13)/C13)</f>
        <v/>
      </c>
      <c r="L13" s="99">
        <f t="shared" ref="L13:L16" si="3">IF(J13="NA","",(J13-D13)/D13)</f>
        <v>-5.0516464970152226E-2</v>
      </c>
      <c r="N13" s="102" t="s">
        <v>235</v>
      </c>
      <c r="O13" s="99">
        <v>5.1504010695187166</v>
      </c>
      <c r="P13" s="99">
        <v>4.012032085561497</v>
      </c>
    </row>
    <row r="14" spans="2:16" x14ac:dyDescent="0.3">
      <c r="B14" s="90" t="s">
        <v>233</v>
      </c>
      <c r="C14" s="91">
        <v>1411</v>
      </c>
      <c r="D14" s="91">
        <v>1411</v>
      </c>
      <c r="E14" s="22" t="s">
        <v>77</v>
      </c>
      <c r="F14" s="14">
        <v>1062</v>
      </c>
      <c r="G14" s="16">
        <v>1</v>
      </c>
      <c r="H14" s="14">
        <v>1062</v>
      </c>
      <c r="I14" s="14">
        <v>1725</v>
      </c>
      <c r="J14" s="14">
        <v>1238</v>
      </c>
      <c r="K14" s="99">
        <f t="shared" si="2"/>
        <v>0.222537207654146</v>
      </c>
      <c r="L14" s="99">
        <f t="shared" si="3"/>
        <v>-0.12260807937632884</v>
      </c>
      <c r="N14" s="102" t="s">
        <v>253</v>
      </c>
      <c r="O14" s="99">
        <v>4.9515418502202646</v>
      </c>
      <c r="P14" s="99">
        <v>4.819383259911894</v>
      </c>
    </row>
    <row r="15" spans="2:16" x14ac:dyDescent="0.3">
      <c r="B15" s="90" t="s">
        <v>234</v>
      </c>
      <c r="C15" s="91">
        <v>1052</v>
      </c>
      <c r="D15" s="91">
        <v>1052</v>
      </c>
      <c r="E15" s="22" t="s">
        <v>244</v>
      </c>
      <c r="F15" s="14">
        <v>1294</v>
      </c>
      <c r="G15" s="16">
        <v>1</v>
      </c>
      <c r="H15" s="14">
        <v>1294</v>
      </c>
      <c r="I15" s="14">
        <v>1864</v>
      </c>
      <c r="J15" s="14">
        <v>1405</v>
      </c>
      <c r="K15" s="99">
        <f t="shared" si="2"/>
        <v>0.77186311787072248</v>
      </c>
      <c r="L15" s="99">
        <f t="shared" si="3"/>
        <v>0.3355513307984791</v>
      </c>
    </row>
    <row r="16" spans="2:16" x14ac:dyDescent="0.3">
      <c r="B16" s="90" t="s">
        <v>235</v>
      </c>
      <c r="C16" s="91">
        <v>1496</v>
      </c>
      <c r="D16" s="91">
        <v>1496</v>
      </c>
      <c r="E16" s="22" t="s">
        <v>83</v>
      </c>
      <c r="F16" s="14">
        <v>6639</v>
      </c>
      <c r="G16" s="16">
        <v>1.0900000000000001</v>
      </c>
      <c r="H16" s="14">
        <v>7224</v>
      </c>
      <c r="I16" s="14">
        <v>9201</v>
      </c>
      <c r="J16" s="14">
        <v>7498</v>
      </c>
      <c r="K16" s="99">
        <f t="shared" si="2"/>
        <v>5.1504010695187166</v>
      </c>
      <c r="L16" s="99">
        <f t="shared" si="3"/>
        <v>4.012032085561497</v>
      </c>
    </row>
    <row r="17" spans="2:12" x14ac:dyDescent="0.3">
      <c r="B17" s="90" t="s">
        <v>236</v>
      </c>
      <c r="C17" s="91">
        <v>135.94559999999998</v>
      </c>
      <c r="D17" s="91">
        <v>135.94559999999998</v>
      </c>
      <c r="E17" s="96"/>
      <c r="F17" s="97"/>
      <c r="G17" s="97"/>
      <c r="H17" s="97"/>
      <c r="I17" s="97"/>
      <c r="J17" s="98"/>
      <c r="K17" s="96"/>
      <c r="L17" s="98"/>
    </row>
    <row r="18" spans="2:12" x14ac:dyDescent="0.3">
      <c r="B18" s="90" t="s">
        <v>237</v>
      </c>
      <c r="C18" s="91">
        <v>227</v>
      </c>
      <c r="D18" s="91">
        <v>227</v>
      </c>
      <c r="E18" s="22" t="s">
        <v>88</v>
      </c>
      <c r="F18" s="14">
        <v>1316</v>
      </c>
      <c r="G18" s="16">
        <v>1</v>
      </c>
      <c r="H18" s="14">
        <v>1316</v>
      </c>
      <c r="I18" s="14">
        <v>1351</v>
      </c>
      <c r="J18" s="14">
        <v>1321</v>
      </c>
      <c r="K18" s="99">
        <f>IF(I18="NA","",(I18-C18)/C18)</f>
        <v>4.9515418502202646</v>
      </c>
      <c r="L18" s="99">
        <f>IF(J18="NA","",(J18-D18)/D18)</f>
        <v>4.819383259911894</v>
      </c>
    </row>
    <row r="57" spans="3:3" x14ac:dyDescent="0.3">
      <c r="C57" t="s">
        <v>252</v>
      </c>
    </row>
  </sheetData>
  <mergeCells count="7">
    <mergeCell ref="K3:L5"/>
    <mergeCell ref="O3:P5"/>
    <mergeCell ref="B3:D3"/>
    <mergeCell ref="E4:E6"/>
    <mergeCell ref="E3:H3"/>
    <mergeCell ref="I4:J5"/>
    <mergeCell ref="I3:J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423CF0-0289-43A0-A5E3-791F4EBB2BAA}">
  <dimension ref="A1:AA129"/>
  <sheetViews>
    <sheetView workbookViewId="0">
      <selection activeCell="R36" sqref="R36"/>
    </sheetView>
  </sheetViews>
  <sheetFormatPr defaultRowHeight="14.4" x14ac:dyDescent="0.3"/>
  <cols>
    <col min="1" max="1" width="23.5546875" bestFit="1" customWidth="1"/>
    <col min="4" max="4" width="7.109375" bestFit="1" customWidth="1"/>
    <col min="5" max="5" width="7.5546875" bestFit="1" customWidth="1"/>
    <col min="6" max="6" width="8.109375" bestFit="1" customWidth="1"/>
    <col min="7" max="7" width="7.5546875" bestFit="1" customWidth="1"/>
    <col min="8" max="8" width="8.109375" bestFit="1" customWidth="1"/>
    <col min="9" max="9" width="7.5546875" bestFit="1" customWidth="1"/>
    <col min="10" max="10" width="8.109375" bestFit="1" customWidth="1"/>
    <col min="11" max="11" width="7.5546875" bestFit="1" customWidth="1"/>
    <col min="12" max="12" width="8.109375" bestFit="1" customWidth="1"/>
    <col min="13" max="13" width="3.6640625" customWidth="1"/>
    <col min="14" max="14" width="11" style="29" bestFit="1" customWidth="1"/>
    <col min="15" max="15" width="5.21875" bestFit="1" customWidth="1"/>
    <col min="16" max="16" width="10.109375" bestFit="1" customWidth="1"/>
    <col min="17" max="20" width="11" bestFit="1" customWidth="1"/>
    <col min="22" max="26" width="0" hidden="1" customWidth="1"/>
  </cols>
  <sheetData>
    <row r="1" spans="1:26" x14ac:dyDescent="0.3">
      <c r="A1" s="1" t="s">
        <v>0</v>
      </c>
      <c r="B1" s="106" t="s">
        <v>175</v>
      </c>
      <c r="C1" s="106"/>
      <c r="D1" s="106"/>
      <c r="E1" s="106"/>
      <c r="F1" s="106"/>
      <c r="G1" s="106"/>
      <c r="H1" s="106"/>
      <c r="I1" s="106"/>
      <c r="J1" s="106"/>
      <c r="K1" s="106"/>
      <c r="L1" s="106"/>
      <c r="N1" s="41" t="s">
        <v>176</v>
      </c>
      <c r="O1" s="2" t="s">
        <v>1</v>
      </c>
      <c r="P1" s="20">
        <f>SUM(P6:P37)</f>
        <v>82538.211850000007</v>
      </c>
      <c r="Q1" s="20">
        <f>SUM(Q6:Q37)</f>
        <v>373765.77614862355</v>
      </c>
      <c r="R1" s="20">
        <f>SUM(R6:R37)</f>
        <v>219943.61417246994</v>
      </c>
      <c r="S1" s="20">
        <f>SUM(S6:S37)</f>
        <v>399529.92616470251</v>
      </c>
      <c r="T1" s="20">
        <f>SUM(T6:T37)</f>
        <v>396006.36494406825</v>
      </c>
    </row>
    <row r="3" spans="1:26" x14ac:dyDescent="0.3">
      <c r="A3" s="3"/>
      <c r="B3" s="4" t="s">
        <v>2</v>
      </c>
      <c r="C3" s="104" t="s">
        <v>3</v>
      </c>
      <c r="D3" s="104"/>
      <c r="E3" s="104" t="s">
        <v>4</v>
      </c>
      <c r="F3" s="104"/>
      <c r="G3" s="115" t="s">
        <v>5</v>
      </c>
      <c r="H3" s="116"/>
      <c r="I3" s="115" t="s">
        <v>6</v>
      </c>
      <c r="J3" s="116"/>
      <c r="K3" s="115" t="s">
        <v>7</v>
      </c>
      <c r="L3" s="116"/>
      <c r="N3" s="30" t="s">
        <v>1</v>
      </c>
      <c r="P3" s="104" t="s">
        <v>129</v>
      </c>
      <c r="Q3" s="104"/>
      <c r="R3" s="104"/>
      <c r="S3" s="104"/>
      <c r="T3" s="104"/>
      <c r="V3" s="104" t="s">
        <v>166</v>
      </c>
      <c r="W3" s="104"/>
      <c r="X3" s="104"/>
      <c r="Y3" s="104"/>
      <c r="Z3" s="104"/>
    </row>
    <row r="4" spans="1:26" x14ac:dyDescent="0.3">
      <c r="A4" s="3"/>
      <c r="B4" s="6">
        <v>2020</v>
      </c>
      <c r="C4" s="7" t="s">
        <v>1</v>
      </c>
      <c r="D4" s="8" t="s">
        <v>8</v>
      </c>
      <c r="E4" s="7" t="s">
        <v>1</v>
      </c>
      <c r="F4" s="8" t="s">
        <v>8</v>
      </c>
      <c r="G4" s="7" t="s">
        <v>1</v>
      </c>
      <c r="H4" s="8" t="s">
        <v>8</v>
      </c>
      <c r="I4" s="7" t="s">
        <v>1</v>
      </c>
      <c r="J4" s="8" t="s">
        <v>8</v>
      </c>
      <c r="K4" s="7" t="s">
        <v>1</v>
      </c>
      <c r="L4" s="8" t="s">
        <v>8</v>
      </c>
      <c r="N4" s="31" t="s">
        <v>9</v>
      </c>
      <c r="P4" s="8" t="s">
        <v>10</v>
      </c>
      <c r="Q4" s="8" t="s">
        <v>11</v>
      </c>
      <c r="R4" s="8" t="s">
        <v>12</v>
      </c>
      <c r="S4" s="8" t="s">
        <v>13</v>
      </c>
      <c r="T4" s="8" t="s">
        <v>14</v>
      </c>
      <c r="V4" s="8" t="s">
        <v>10</v>
      </c>
      <c r="W4" s="8" t="s">
        <v>11</v>
      </c>
      <c r="X4" s="8" t="s">
        <v>12</v>
      </c>
      <c r="Y4" s="8" t="s">
        <v>13</v>
      </c>
      <c r="Z4" s="8" t="s">
        <v>14</v>
      </c>
    </row>
    <row r="5" spans="1:26" x14ac:dyDescent="0.3">
      <c r="A5" s="113" t="s">
        <v>15</v>
      </c>
      <c r="B5" s="113"/>
      <c r="C5" s="113"/>
      <c r="D5" s="113"/>
      <c r="E5" s="113"/>
      <c r="F5" s="113"/>
      <c r="G5" s="113"/>
      <c r="H5" s="113"/>
      <c r="I5" s="113"/>
      <c r="J5" s="113"/>
      <c r="K5" s="113"/>
      <c r="L5" s="113"/>
      <c r="N5" s="32" t="s">
        <v>16</v>
      </c>
      <c r="V5" s="8" t="s">
        <v>8</v>
      </c>
      <c r="W5" s="8" t="s">
        <v>8</v>
      </c>
      <c r="X5" s="8" t="s">
        <v>8</v>
      </c>
      <c r="Y5" s="8" t="s">
        <v>8</v>
      </c>
      <c r="Z5" s="8" t="s">
        <v>8</v>
      </c>
    </row>
    <row r="6" spans="1:26" x14ac:dyDescent="0.3">
      <c r="A6" s="11" t="s">
        <v>17</v>
      </c>
      <c r="B6" s="12">
        <v>1916.9</v>
      </c>
      <c r="C6" s="12">
        <v>3786.66</v>
      </c>
      <c r="D6" s="13">
        <v>1869.7599999999998</v>
      </c>
      <c r="E6" s="12">
        <v>6184.880000000001</v>
      </c>
      <c r="F6" s="13">
        <v>4267.9800000000014</v>
      </c>
      <c r="G6" s="12">
        <v>5845.4099999999989</v>
      </c>
      <c r="H6" s="13">
        <v>3928.5099999999989</v>
      </c>
      <c r="I6" s="12">
        <v>6098.57</v>
      </c>
      <c r="J6" s="13">
        <v>4181.67</v>
      </c>
      <c r="K6" s="12">
        <v>6255.1800000000012</v>
      </c>
      <c r="L6" s="13">
        <v>4338.2800000000007</v>
      </c>
      <c r="N6" s="37">
        <v>2281</v>
      </c>
      <c r="P6" s="15">
        <f>$N6*D6/1000</f>
        <v>4264.92256</v>
      </c>
      <c r="Q6" s="15">
        <f>$N6*F6/1000</f>
        <v>9735.2623800000019</v>
      </c>
      <c r="R6" s="15">
        <f>$N6*H6/1000</f>
        <v>8960.9313099999963</v>
      </c>
      <c r="S6" s="15">
        <f>$N6*J6/1000</f>
        <v>9538.3892699999997</v>
      </c>
      <c r="T6" s="15">
        <f>$N6*L6/1000</f>
        <v>9895.616680000001</v>
      </c>
      <c r="V6" s="13">
        <f>D6</f>
        <v>1869.7599999999998</v>
      </c>
      <c r="W6" s="13">
        <f>F6</f>
        <v>4267.9800000000014</v>
      </c>
      <c r="X6" s="13">
        <f>H6</f>
        <v>3928.5099999999989</v>
      </c>
      <c r="Y6" s="13">
        <f>J6</f>
        <v>4181.67</v>
      </c>
      <c r="Z6" s="13">
        <f>L6</f>
        <v>4338.2800000000007</v>
      </c>
    </row>
    <row r="7" spans="1:26" x14ac:dyDescent="0.3">
      <c r="A7" s="11" t="s">
        <v>18</v>
      </c>
      <c r="B7" s="12">
        <v>0</v>
      </c>
      <c r="C7" s="12">
        <v>0</v>
      </c>
      <c r="D7" s="13">
        <v>0</v>
      </c>
      <c r="E7" s="12">
        <v>6104.3099999999995</v>
      </c>
      <c r="F7" s="13">
        <v>6104.3099999999995</v>
      </c>
      <c r="G7" s="12">
        <v>6396.79</v>
      </c>
      <c r="H7" s="13">
        <v>6396.79</v>
      </c>
      <c r="I7" s="12">
        <v>6396.7800000000007</v>
      </c>
      <c r="J7" s="13">
        <v>6396.7800000000007</v>
      </c>
      <c r="K7" s="12">
        <v>6396.79</v>
      </c>
      <c r="L7" s="13">
        <v>6396.79</v>
      </c>
      <c r="N7" s="37"/>
      <c r="P7" s="16"/>
      <c r="Q7" s="16"/>
      <c r="R7" s="16"/>
      <c r="S7" s="16"/>
      <c r="T7" s="16"/>
      <c r="V7" s="13">
        <f t="shared" ref="V7:V20" si="0">D7</f>
        <v>0</v>
      </c>
      <c r="W7" s="13">
        <f t="shared" ref="W7:W20" si="1">F7</f>
        <v>6104.3099999999995</v>
      </c>
      <c r="X7" s="13">
        <f t="shared" ref="X7:X20" si="2">H7</f>
        <v>6396.79</v>
      </c>
      <c r="Y7" s="13">
        <f t="shared" ref="Y7:Y20" si="3">J7</f>
        <v>6396.7800000000007</v>
      </c>
      <c r="Z7" s="13">
        <f t="shared" ref="Z7:Z20" si="4">L7</f>
        <v>6396.79</v>
      </c>
    </row>
    <row r="8" spans="1:26" x14ac:dyDescent="0.3">
      <c r="A8" s="11" t="s">
        <v>19</v>
      </c>
      <c r="B8" s="12">
        <v>0</v>
      </c>
      <c r="C8" s="12">
        <v>0</v>
      </c>
      <c r="D8" s="13">
        <v>0</v>
      </c>
      <c r="E8" s="12">
        <v>0</v>
      </c>
      <c r="F8" s="13">
        <v>0</v>
      </c>
      <c r="G8" s="12">
        <v>0</v>
      </c>
      <c r="H8" s="13">
        <v>0</v>
      </c>
      <c r="I8" s="12">
        <v>0</v>
      </c>
      <c r="J8" s="13">
        <v>0</v>
      </c>
      <c r="K8" s="12">
        <v>0</v>
      </c>
      <c r="L8" s="13">
        <v>0</v>
      </c>
      <c r="N8" s="37">
        <v>7370</v>
      </c>
      <c r="P8" s="15">
        <f>$N8*D8/1000</f>
        <v>0</v>
      </c>
      <c r="Q8" s="15">
        <f>$N8*F8/1000</f>
        <v>0</v>
      </c>
      <c r="R8" s="15">
        <f>$N8*H8/1000</f>
        <v>0</v>
      </c>
      <c r="S8" s="15">
        <f>$N8*J8/1000</f>
        <v>0</v>
      </c>
      <c r="T8" s="15">
        <f>$N8*L8/1000</f>
        <v>0</v>
      </c>
      <c r="V8" s="13">
        <f t="shared" si="0"/>
        <v>0</v>
      </c>
      <c r="W8" s="13">
        <f t="shared" si="1"/>
        <v>0</v>
      </c>
      <c r="X8" s="13">
        <f t="shared" si="2"/>
        <v>0</v>
      </c>
      <c r="Y8" s="13">
        <f t="shared" si="3"/>
        <v>0</v>
      </c>
      <c r="Z8" s="13">
        <f t="shared" si="4"/>
        <v>0</v>
      </c>
    </row>
    <row r="9" spans="1:26" x14ac:dyDescent="0.3">
      <c r="A9" s="11" t="s">
        <v>20</v>
      </c>
      <c r="B9" s="12">
        <v>276.93</v>
      </c>
      <c r="C9" s="12">
        <v>7079.9800000000005</v>
      </c>
      <c r="D9" s="13">
        <v>6803.05</v>
      </c>
      <c r="E9" s="12">
        <v>24077.61</v>
      </c>
      <c r="F9" s="13">
        <v>23800.68</v>
      </c>
      <c r="G9" s="12">
        <v>27166.189999999995</v>
      </c>
      <c r="H9" s="13">
        <v>26889.259999999995</v>
      </c>
      <c r="I9" s="12">
        <v>25154.560000000001</v>
      </c>
      <c r="J9" s="13">
        <v>24877.63</v>
      </c>
      <c r="K9" s="12">
        <v>25357.68</v>
      </c>
      <c r="L9" s="13">
        <v>25080.75</v>
      </c>
      <c r="N9" s="37">
        <v>1357</v>
      </c>
      <c r="P9" s="15">
        <f>$N9*D9/1000</f>
        <v>9231.7388499999997</v>
      </c>
      <c r="Q9" s="15">
        <f>$N9*F9/1000</f>
        <v>32297.52276</v>
      </c>
      <c r="R9" s="15">
        <f>$N9*H9/1000</f>
        <v>36488.725819999992</v>
      </c>
      <c r="S9" s="15">
        <f>$N9*J9/1000</f>
        <v>33758.943910000002</v>
      </c>
      <c r="T9" s="15">
        <f>$N9*L9/1000</f>
        <v>34034.577749999997</v>
      </c>
      <c r="V9" s="13">
        <f t="shared" si="0"/>
        <v>6803.05</v>
      </c>
      <c r="W9" s="13">
        <f t="shared" si="1"/>
        <v>23800.68</v>
      </c>
      <c r="X9" s="13">
        <f t="shared" si="2"/>
        <v>26889.259999999995</v>
      </c>
      <c r="Y9" s="13">
        <f t="shared" si="3"/>
        <v>24877.63</v>
      </c>
      <c r="Z9" s="13">
        <f t="shared" si="4"/>
        <v>25080.75</v>
      </c>
    </row>
    <row r="10" spans="1:26" x14ac:dyDescent="0.3">
      <c r="A10" s="11" t="s">
        <v>21</v>
      </c>
      <c r="B10" s="12">
        <v>1462.46</v>
      </c>
      <c r="C10" s="12">
        <v>5783.44</v>
      </c>
      <c r="D10" s="13">
        <v>4320.9799999999996</v>
      </c>
      <c r="E10" s="12">
        <v>11205.900000000001</v>
      </c>
      <c r="F10" s="13">
        <v>9743.4400000000023</v>
      </c>
      <c r="G10" s="12">
        <v>11205.900000000001</v>
      </c>
      <c r="H10" s="13">
        <v>9743.4400000000023</v>
      </c>
      <c r="I10" s="12">
        <v>11205.89</v>
      </c>
      <c r="J10" s="13">
        <v>9743.43</v>
      </c>
      <c r="K10" s="12">
        <v>11205.900000000001</v>
      </c>
      <c r="L10" s="13">
        <v>9743.4400000000023</v>
      </c>
      <c r="N10" s="37">
        <v>1357</v>
      </c>
      <c r="P10" s="15">
        <f>$N10*D10/1000</f>
        <v>5863.5698599999996</v>
      </c>
      <c r="Q10" s="15">
        <f>$N10*F10/1000</f>
        <v>13221.848080000003</v>
      </c>
      <c r="R10" s="15">
        <f>$N10*H10/1000</f>
        <v>13221.848080000003</v>
      </c>
      <c r="S10" s="15">
        <f>$N10*J10/1000</f>
        <v>13221.834510000001</v>
      </c>
      <c r="T10" s="15">
        <f>$N10*L10/1000</f>
        <v>13221.848080000003</v>
      </c>
      <c r="V10" s="13">
        <f t="shared" si="0"/>
        <v>4320.9799999999996</v>
      </c>
      <c r="W10" s="13">
        <f t="shared" si="1"/>
        <v>9743.4400000000023</v>
      </c>
      <c r="X10" s="13">
        <f t="shared" si="2"/>
        <v>9743.4400000000023</v>
      </c>
      <c r="Y10" s="13">
        <f t="shared" si="3"/>
        <v>9743.43</v>
      </c>
      <c r="Z10" s="13">
        <f t="shared" si="4"/>
        <v>9743.4400000000023</v>
      </c>
    </row>
    <row r="11" spans="1:26" x14ac:dyDescent="0.3">
      <c r="A11" s="11" t="s">
        <v>22</v>
      </c>
      <c r="B11" s="12">
        <v>337.29</v>
      </c>
      <c r="C11" s="12">
        <v>1612.3400000000001</v>
      </c>
      <c r="D11" s="13">
        <v>1275.0500000000002</v>
      </c>
      <c r="E11" s="12">
        <v>6276.8</v>
      </c>
      <c r="F11" s="13">
        <v>5939.51</v>
      </c>
      <c r="G11" s="12">
        <v>6782.6799999999994</v>
      </c>
      <c r="H11" s="13">
        <v>6445.3899999999994</v>
      </c>
      <c r="I11" s="12">
        <v>6703.04</v>
      </c>
      <c r="J11" s="13">
        <v>6365.75</v>
      </c>
      <c r="K11" s="12">
        <v>7065.01</v>
      </c>
      <c r="L11" s="13">
        <v>6727.72</v>
      </c>
      <c r="N11" s="37">
        <v>1321</v>
      </c>
      <c r="P11" s="15">
        <f>$N11*D11/1000</f>
        <v>1684.3410500000002</v>
      </c>
      <c r="Q11" s="15">
        <f>$N11*F11/1000</f>
        <v>7846.0927099999999</v>
      </c>
      <c r="R11" s="15">
        <f>$N11*H11/1000</f>
        <v>8514.3601899999994</v>
      </c>
      <c r="S11" s="15">
        <f>$N11*J11/1000</f>
        <v>8409.1557499999999</v>
      </c>
      <c r="T11" s="15">
        <f>$N11*L11/1000</f>
        <v>8887.3181200000017</v>
      </c>
      <c r="V11" s="13">
        <f t="shared" si="0"/>
        <v>1275.0500000000002</v>
      </c>
      <c r="W11" s="13">
        <f t="shared" si="1"/>
        <v>5939.51</v>
      </c>
      <c r="X11" s="13">
        <f t="shared" si="2"/>
        <v>6445.3899999999994</v>
      </c>
      <c r="Y11" s="13">
        <f t="shared" si="3"/>
        <v>6365.75</v>
      </c>
      <c r="Z11" s="13">
        <f t="shared" si="4"/>
        <v>6727.72</v>
      </c>
    </row>
    <row r="12" spans="1:26" x14ac:dyDescent="0.3">
      <c r="A12" s="11" t="s">
        <v>23</v>
      </c>
      <c r="B12" s="12">
        <v>1435.3999999999999</v>
      </c>
      <c r="C12" s="12">
        <v>1435.3999999999999</v>
      </c>
      <c r="D12" s="13">
        <v>0</v>
      </c>
      <c r="E12" s="12">
        <v>1435.3999999999999</v>
      </c>
      <c r="F12" s="13">
        <v>0</v>
      </c>
      <c r="G12" s="12">
        <v>1435.3999999999999</v>
      </c>
      <c r="H12" s="13">
        <v>0</v>
      </c>
      <c r="I12" s="12">
        <v>1435.3999999999999</v>
      </c>
      <c r="J12" s="13">
        <v>0</v>
      </c>
      <c r="K12" s="12">
        <v>1435.3999999999999</v>
      </c>
      <c r="L12" s="13">
        <v>0</v>
      </c>
      <c r="N12" s="37"/>
      <c r="P12" s="16"/>
      <c r="Q12" s="16"/>
      <c r="R12" s="16"/>
      <c r="S12" s="16"/>
      <c r="T12" s="16"/>
      <c r="V12" s="13">
        <f t="shared" si="0"/>
        <v>0</v>
      </c>
      <c r="W12" s="13">
        <f t="shared" si="1"/>
        <v>0</v>
      </c>
      <c r="X12" s="13">
        <f t="shared" si="2"/>
        <v>0</v>
      </c>
      <c r="Y12" s="13">
        <f t="shared" si="3"/>
        <v>0</v>
      </c>
      <c r="Z12" s="13">
        <f t="shared" si="4"/>
        <v>0</v>
      </c>
    </row>
    <row r="13" spans="1:26" x14ac:dyDescent="0.3">
      <c r="A13" s="11" t="s">
        <v>24</v>
      </c>
      <c r="B13" s="12">
        <v>0</v>
      </c>
      <c r="C13" s="12">
        <v>0</v>
      </c>
      <c r="D13" s="13">
        <v>0</v>
      </c>
      <c r="E13" s="12">
        <v>0</v>
      </c>
      <c r="F13" s="13">
        <v>0</v>
      </c>
      <c r="G13" s="12">
        <v>0</v>
      </c>
      <c r="H13" s="13">
        <v>0</v>
      </c>
      <c r="I13" s="12">
        <v>0</v>
      </c>
      <c r="J13" s="13">
        <v>0</v>
      </c>
      <c r="K13" s="12">
        <v>0</v>
      </c>
      <c r="L13" s="13">
        <v>0</v>
      </c>
      <c r="N13" s="37"/>
      <c r="P13" s="16"/>
      <c r="Q13" s="16"/>
      <c r="R13" s="16"/>
      <c r="S13" s="16"/>
      <c r="T13" s="16"/>
      <c r="V13" s="13">
        <f t="shared" si="0"/>
        <v>0</v>
      </c>
      <c r="W13" s="13">
        <f t="shared" si="1"/>
        <v>0</v>
      </c>
      <c r="X13" s="13">
        <f t="shared" si="2"/>
        <v>0</v>
      </c>
      <c r="Y13" s="13">
        <f t="shared" si="3"/>
        <v>0</v>
      </c>
      <c r="Z13" s="13">
        <f t="shared" si="4"/>
        <v>0</v>
      </c>
    </row>
    <row r="14" spans="1:26" x14ac:dyDescent="0.3">
      <c r="A14" s="11" t="s">
        <v>25</v>
      </c>
      <c r="B14" s="12">
        <v>1485</v>
      </c>
      <c r="C14" s="12">
        <v>1485</v>
      </c>
      <c r="D14" s="13">
        <v>0</v>
      </c>
      <c r="E14" s="12">
        <v>1485</v>
      </c>
      <c r="F14" s="13">
        <v>0</v>
      </c>
      <c r="G14" s="12">
        <v>1485</v>
      </c>
      <c r="H14" s="13">
        <v>0</v>
      </c>
      <c r="I14" s="12">
        <v>1485</v>
      </c>
      <c r="J14" s="13">
        <v>0</v>
      </c>
      <c r="K14" s="12">
        <v>1485</v>
      </c>
      <c r="L14" s="13">
        <v>0</v>
      </c>
      <c r="N14" s="37"/>
      <c r="P14" s="16"/>
      <c r="Q14" s="16"/>
      <c r="R14" s="16"/>
      <c r="S14" s="16"/>
      <c r="T14" s="16"/>
      <c r="V14" s="13">
        <f t="shared" si="0"/>
        <v>0</v>
      </c>
      <c r="W14" s="13">
        <f t="shared" si="1"/>
        <v>0</v>
      </c>
      <c r="X14" s="13">
        <f t="shared" si="2"/>
        <v>0</v>
      </c>
      <c r="Y14" s="13">
        <f t="shared" si="3"/>
        <v>0</v>
      </c>
      <c r="Z14" s="13">
        <f t="shared" si="4"/>
        <v>0</v>
      </c>
    </row>
    <row r="15" spans="1:26" x14ac:dyDescent="0.3">
      <c r="A15" s="11" t="s">
        <v>26</v>
      </c>
      <c r="B15" s="12">
        <v>4262.2000000000007</v>
      </c>
      <c r="C15" s="12">
        <v>4603.1900000000005</v>
      </c>
      <c r="D15" s="13">
        <v>340.98999999999978</v>
      </c>
      <c r="E15" s="12">
        <v>4606.5300000000007</v>
      </c>
      <c r="F15" s="13">
        <v>344.32999999999993</v>
      </c>
      <c r="G15" s="12">
        <v>4606.5300000000007</v>
      </c>
      <c r="H15" s="13">
        <v>344.32999999999993</v>
      </c>
      <c r="I15" s="12">
        <v>4606.5300000000007</v>
      </c>
      <c r="J15" s="13">
        <v>344.32999999999993</v>
      </c>
      <c r="K15" s="12">
        <v>4606.5300000000007</v>
      </c>
      <c r="L15" s="13">
        <v>344.32999999999993</v>
      </c>
      <c r="N15" s="37">
        <v>4144</v>
      </c>
      <c r="P15" s="15">
        <f>$N15*D15/1000</f>
        <v>1413.0625599999992</v>
      </c>
      <c r="Q15" s="15">
        <f>$N15*F15/1000</f>
        <v>1426.9035199999998</v>
      </c>
      <c r="R15" s="15">
        <f>$N15*H15/1000</f>
        <v>1426.9035199999998</v>
      </c>
      <c r="S15" s="15">
        <f>$N15*J15/1000</f>
        <v>1426.9035199999998</v>
      </c>
      <c r="T15" s="15">
        <f>$N15*L15/1000</f>
        <v>1426.9035199999998</v>
      </c>
      <c r="V15" s="13">
        <f t="shared" si="0"/>
        <v>340.98999999999978</v>
      </c>
      <c r="W15" s="13">
        <f t="shared" si="1"/>
        <v>344.32999999999993</v>
      </c>
      <c r="X15" s="13">
        <f t="shared" si="2"/>
        <v>344.32999999999993</v>
      </c>
      <c r="Y15" s="13">
        <f t="shared" si="3"/>
        <v>344.32999999999993</v>
      </c>
      <c r="Z15" s="13">
        <f t="shared" si="4"/>
        <v>344.32999999999993</v>
      </c>
    </row>
    <row r="16" spans="1:26" x14ac:dyDescent="0.3">
      <c r="A16" s="11" t="s">
        <v>27</v>
      </c>
      <c r="B16" s="12">
        <v>4860.2</v>
      </c>
      <c r="C16" s="12">
        <v>1287.2</v>
      </c>
      <c r="D16" s="13">
        <v>-3573</v>
      </c>
      <c r="E16" s="12">
        <v>3355.2</v>
      </c>
      <c r="F16" s="13">
        <v>-1505</v>
      </c>
      <c r="G16" s="12">
        <v>3355.2</v>
      </c>
      <c r="H16" s="13">
        <v>-1505</v>
      </c>
      <c r="I16" s="12">
        <v>3355.2</v>
      </c>
      <c r="J16" s="13">
        <v>-1505</v>
      </c>
      <c r="K16" s="12">
        <v>3355.2</v>
      </c>
      <c r="L16" s="13">
        <v>-1505</v>
      </c>
      <c r="N16" s="37"/>
      <c r="P16" s="16"/>
      <c r="Q16" s="16"/>
      <c r="R16" s="16"/>
      <c r="S16" s="16"/>
      <c r="T16" s="16"/>
      <c r="V16" s="13">
        <f t="shared" si="0"/>
        <v>-3573</v>
      </c>
      <c r="W16" s="13">
        <f t="shared" si="1"/>
        <v>-1505</v>
      </c>
      <c r="X16" s="13">
        <f t="shared" si="2"/>
        <v>-1505</v>
      </c>
      <c r="Y16" s="13">
        <f t="shared" si="3"/>
        <v>-1505</v>
      </c>
      <c r="Z16" s="13">
        <f t="shared" si="4"/>
        <v>-1505</v>
      </c>
    </row>
    <row r="17" spans="1:27" x14ac:dyDescent="0.3">
      <c r="A17" s="11" t="s">
        <v>28</v>
      </c>
      <c r="B17" s="12">
        <v>11665.2</v>
      </c>
      <c r="C17" s="12">
        <v>8460.9</v>
      </c>
      <c r="D17" s="13">
        <v>-3204.3000000000011</v>
      </c>
      <c r="E17" s="12">
        <v>0</v>
      </c>
      <c r="F17" s="13">
        <v>-11665.2</v>
      </c>
      <c r="G17" s="12">
        <v>0</v>
      </c>
      <c r="H17" s="13">
        <v>-11665.2</v>
      </c>
      <c r="I17" s="12">
        <v>0</v>
      </c>
      <c r="J17" s="13">
        <v>-11665.2</v>
      </c>
      <c r="K17" s="12">
        <v>0</v>
      </c>
      <c r="L17" s="13">
        <v>-11665.2</v>
      </c>
      <c r="N17" s="37">
        <f>EIA!P11</f>
        <v>1238</v>
      </c>
      <c r="P17" s="16"/>
      <c r="Q17" s="16"/>
      <c r="R17" s="16"/>
      <c r="S17" s="16"/>
      <c r="T17" s="16"/>
      <c r="V17" s="13">
        <f t="shared" si="0"/>
        <v>-3204.3000000000011</v>
      </c>
      <c r="W17" s="13">
        <f t="shared" si="1"/>
        <v>-11665.2</v>
      </c>
      <c r="X17" s="13">
        <f t="shared" si="2"/>
        <v>-11665.2</v>
      </c>
      <c r="Y17" s="13">
        <f t="shared" si="3"/>
        <v>-11665.2</v>
      </c>
      <c r="Z17" s="13">
        <f t="shared" si="4"/>
        <v>-11665.2</v>
      </c>
    </row>
    <row r="18" spans="1:27" x14ac:dyDescent="0.3">
      <c r="A18" s="11" t="s">
        <v>29</v>
      </c>
      <c r="B18" s="12">
        <v>0</v>
      </c>
      <c r="C18" s="12">
        <v>0</v>
      </c>
      <c r="D18" s="13">
        <v>0</v>
      </c>
      <c r="E18" s="12">
        <v>12439.960000000001</v>
      </c>
      <c r="F18" s="13">
        <v>12439.960000000001</v>
      </c>
      <c r="G18" s="12">
        <v>11277.73</v>
      </c>
      <c r="H18" s="13">
        <v>11277.73</v>
      </c>
      <c r="I18" s="12">
        <v>13589.81</v>
      </c>
      <c r="J18" s="13">
        <v>13589.81</v>
      </c>
      <c r="K18" s="12">
        <v>13305.56</v>
      </c>
      <c r="L18" s="13">
        <v>13305.56</v>
      </c>
      <c r="N18" s="37">
        <v>7498</v>
      </c>
      <c r="P18" s="15">
        <f>$N18*D18/1000</f>
        <v>0</v>
      </c>
      <c r="Q18" s="15">
        <f>$N18*F18/1000</f>
        <v>93274.82008000002</v>
      </c>
      <c r="R18" s="15">
        <f>$N17*H18/1000</f>
        <v>13961.829740000001</v>
      </c>
      <c r="S18" s="15">
        <f>$N18*J18/1000</f>
        <v>101896.39538</v>
      </c>
      <c r="T18" s="15">
        <f>$N18*L18/1000</f>
        <v>99765.088879999996</v>
      </c>
      <c r="V18" s="13">
        <f t="shared" si="0"/>
        <v>0</v>
      </c>
      <c r="W18" s="13">
        <f t="shared" si="1"/>
        <v>12439.960000000001</v>
      </c>
      <c r="X18" s="13">
        <f t="shared" si="2"/>
        <v>11277.73</v>
      </c>
      <c r="Y18" s="13">
        <f t="shared" si="3"/>
        <v>13589.81</v>
      </c>
      <c r="Z18" s="13">
        <f t="shared" si="4"/>
        <v>13305.56</v>
      </c>
      <c r="AA18" t="s">
        <v>225</v>
      </c>
    </row>
    <row r="19" spans="1:27" x14ac:dyDescent="0.3">
      <c r="A19" s="11" t="s">
        <v>30</v>
      </c>
      <c r="B19" s="13">
        <v>0</v>
      </c>
      <c r="C19" s="13">
        <v>0</v>
      </c>
      <c r="D19" s="13">
        <v>0</v>
      </c>
      <c r="E19" s="13">
        <v>12439.960000000001</v>
      </c>
      <c r="F19" s="13">
        <v>12439.960000000001</v>
      </c>
      <c r="G19" s="13">
        <v>11277.73</v>
      </c>
      <c r="H19" s="13">
        <v>11277.73</v>
      </c>
      <c r="I19" s="13">
        <v>13589.81</v>
      </c>
      <c r="J19" s="13">
        <v>13589.81</v>
      </c>
      <c r="K19" s="13">
        <v>13305.56</v>
      </c>
      <c r="L19" s="13">
        <v>13305.56</v>
      </c>
      <c r="N19" s="37">
        <v>1033.5362943024952</v>
      </c>
      <c r="P19" s="15">
        <f>$N19*D19/1000</f>
        <v>0</v>
      </c>
      <c r="Q19" s="15">
        <f>$N19*F19/1000</f>
        <v>12857.15015967127</v>
      </c>
      <c r="R19" s="15">
        <f>$N19*H19/1000</f>
        <v>11655.943272344079</v>
      </c>
      <c r="S19" s="15">
        <f>$N19*J19/1000</f>
        <v>14045.561867674991</v>
      </c>
      <c r="T19" s="15">
        <f>$N19*L19/1000</f>
        <v>13751.779176019509</v>
      </c>
      <c r="V19" s="13">
        <f t="shared" si="0"/>
        <v>0</v>
      </c>
      <c r="W19" s="13">
        <f t="shared" si="1"/>
        <v>12439.960000000001</v>
      </c>
      <c r="X19" s="13">
        <f t="shared" si="2"/>
        <v>11277.73</v>
      </c>
      <c r="Y19" s="13">
        <f t="shared" si="3"/>
        <v>13589.81</v>
      </c>
      <c r="Z19" s="13">
        <f t="shared" si="4"/>
        <v>13305.56</v>
      </c>
    </row>
    <row r="20" spans="1:27" x14ac:dyDescent="0.3">
      <c r="A20" s="11" t="s">
        <v>31</v>
      </c>
      <c r="B20" s="12">
        <v>205.60000000000002</v>
      </c>
      <c r="C20" s="12">
        <v>205.60000000000002</v>
      </c>
      <c r="D20" s="13">
        <v>0</v>
      </c>
      <c r="E20" s="12">
        <v>205.60000000000002</v>
      </c>
      <c r="F20" s="13">
        <v>0</v>
      </c>
      <c r="G20" s="12">
        <v>205.60000000000002</v>
      </c>
      <c r="H20" s="13">
        <v>0</v>
      </c>
      <c r="I20" s="12">
        <v>205.60000000000002</v>
      </c>
      <c r="J20" s="13">
        <v>0</v>
      </c>
      <c r="K20" s="12">
        <v>205.60000000000002</v>
      </c>
      <c r="L20" s="13">
        <v>0</v>
      </c>
      <c r="N20" s="37"/>
      <c r="P20" s="16"/>
      <c r="Q20" s="16"/>
      <c r="R20" s="16"/>
      <c r="S20" s="16"/>
      <c r="T20" s="16"/>
      <c r="V20" s="13">
        <f t="shared" si="0"/>
        <v>0</v>
      </c>
      <c r="W20" s="13">
        <f t="shared" si="1"/>
        <v>0</v>
      </c>
      <c r="X20" s="13">
        <f t="shared" si="2"/>
        <v>0</v>
      </c>
      <c r="Y20" s="13">
        <f t="shared" si="3"/>
        <v>0</v>
      </c>
      <c r="Z20" s="13">
        <f t="shared" si="4"/>
        <v>0</v>
      </c>
    </row>
    <row r="21" spans="1:27" x14ac:dyDescent="0.3">
      <c r="A21" s="17"/>
      <c r="B21" s="17"/>
      <c r="C21" s="17"/>
      <c r="N21"/>
    </row>
    <row r="22" spans="1:27" x14ac:dyDescent="0.3">
      <c r="A22" s="113" t="s">
        <v>32</v>
      </c>
      <c r="B22" s="113"/>
      <c r="C22" s="113"/>
      <c r="D22" s="113"/>
      <c r="E22" s="113"/>
      <c r="F22" s="113"/>
      <c r="G22" s="113"/>
      <c r="H22" s="113"/>
      <c r="I22" s="113"/>
      <c r="J22" s="113"/>
      <c r="K22" s="113"/>
      <c r="L22" s="113"/>
      <c r="N22"/>
    </row>
    <row r="23" spans="1:27" x14ac:dyDescent="0.3">
      <c r="A23" s="11" t="s">
        <v>17</v>
      </c>
      <c r="B23" s="12">
        <v>0</v>
      </c>
      <c r="C23" s="12">
        <v>0</v>
      </c>
      <c r="D23" s="13">
        <v>0</v>
      </c>
      <c r="E23" s="12">
        <v>0</v>
      </c>
      <c r="F23" s="13">
        <v>0</v>
      </c>
      <c r="G23" s="12">
        <v>0</v>
      </c>
      <c r="H23" s="13">
        <v>0</v>
      </c>
      <c r="I23" s="12">
        <v>27.28</v>
      </c>
      <c r="J23" s="13">
        <v>27.28</v>
      </c>
      <c r="K23" s="12">
        <v>27.28</v>
      </c>
      <c r="L23" s="13">
        <v>27.28</v>
      </c>
      <c r="N23" s="37">
        <v>2281</v>
      </c>
      <c r="P23" s="15">
        <f>$N23*D23/1000</f>
        <v>0</v>
      </c>
      <c r="Q23" s="15">
        <f>$N23*F23/1000</f>
        <v>0</v>
      </c>
      <c r="R23" s="15">
        <f>$N23*H23/1000</f>
        <v>0</v>
      </c>
      <c r="S23" s="15">
        <f>$N23*J23/1000</f>
        <v>62.225679999999997</v>
      </c>
      <c r="T23" s="15">
        <f>$N23*L23/1000</f>
        <v>62.225679999999997</v>
      </c>
      <c r="V23" s="13">
        <f>D23</f>
        <v>0</v>
      </c>
      <c r="W23" s="13">
        <f>F23</f>
        <v>0</v>
      </c>
      <c r="X23" s="13">
        <f>H23</f>
        <v>0</v>
      </c>
      <c r="Y23" s="13">
        <f>J23</f>
        <v>27.28</v>
      </c>
      <c r="Z23" s="13">
        <f>L23</f>
        <v>27.28</v>
      </c>
    </row>
    <row r="24" spans="1:27" x14ac:dyDescent="0.3">
      <c r="A24" s="11" t="s">
        <v>18</v>
      </c>
      <c r="B24" s="12">
        <v>0</v>
      </c>
      <c r="C24" s="12">
        <v>0</v>
      </c>
      <c r="D24" s="13">
        <v>0</v>
      </c>
      <c r="E24" s="12">
        <v>0</v>
      </c>
      <c r="F24" s="13">
        <v>0</v>
      </c>
      <c r="G24" s="12">
        <v>0</v>
      </c>
      <c r="H24" s="13">
        <v>0</v>
      </c>
      <c r="I24" s="12">
        <v>0</v>
      </c>
      <c r="J24" s="13">
        <v>0</v>
      </c>
      <c r="K24" s="12">
        <v>0</v>
      </c>
      <c r="L24" s="13">
        <v>0</v>
      </c>
      <c r="N24" s="37"/>
      <c r="P24" s="16"/>
      <c r="Q24" s="16"/>
      <c r="R24" s="16"/>
      <c r="S24" s="16"/>
      <c r="T24" s="16"/>
      <c r="V24" s="13">
        <f t="shared" ref="V24:V37" si="5">D24</f>
        <v>0</v>
      </c>
      <c r="W24" s="13">
        <f t="shared" ref="W24:W37" si="6">F24</f>
        <v>0</v>
      </c>
      <c r="X24" s="13">
        <f t="shared" ref="X24:X37" si="7">H24</f>
        <v>0</v>
      </c>
      <c r="Y24" s="13">
        <f t="shared" ref="Y24:Y37" si="8">J24</f>
        <v>0</v>
      </c>
      <c r="Z24" s="13">
        <f t="shared" ref="Z24:Z37" si="9">L24</f>
        <v>0</v>
      </c>
    </row>
    <row r="25" spans="1:27" x14ac:dyDescent="0.3">
      <c r="A25" s="11" t="s">
        <v>19</v>
      </c>
      <c r="B25" s="12">
        <v>0</v>
      </c>
      <c r="C25" s="12">
        <v>9000</v>
      </c>
      <c r="D25" s="13">
        <v>9000</v>
      </c>
      <c r="E25" s="12">
        <v>14528.63</v>
      </c>
      <c r="F25" s="13">
        <v>14528.63</v>
      </c>
      <c r="G25" s="12">
        <v>14363.650000000001</v>
      </c>
      <c r="H25" s="13">
        <v>14363.650000000001</v>
      </c>
      <c r="I25" s="12">
        <v>16756.489999999998</v>
      </c>
      <c r="J25" s="13">
        <v>16756.489999999998</v>
      </c>
      <c r="K25" s="12">
        <v>15874.669999999998</v>
      </c>
      <c r="L25" s="13">
        <v>15874.669999999998</v>
      </c>
      <c r="N25" s="37">
        <v>6079</v>
      </c>
      <c r="P25" s="15">
        <f>$N25*D25/1000</f>
        <v>54711</v>
      </c>
      <c r="Q25" s="15">
        <f>$N25*F25/1000</f>
        <v>88319.541769999996</v>
      </c>
      <c r="R25" s="15">
        <f>$N25*H25/1000</f>
        <v>87316.628350000014</v>
      </c>
      <c r="S25" s="15">
        <f>$N25*J25/1000</f>
        <v>101862.70271</v>
      </c>
      <c r="T25" s="15">
        <f>$N25*L25/1000</f>
        <v>96502.118929999997</v>
      </c>
      <c r="V25" s="13">
        <f t="shared" si="5"/>
        <v>9000</v>
      </c>
      <c r="W25" s="13">
        <f t="shared" si="6"/>
        <v>14528.63</v>
      </c>
      <c r="X25" s="13">
        <f t="shared" si="7"/>
        <v>14363.650000000001</v>
      </c>
      <c r="Y25" s="13">
        <f t="shared" si="8"/>
        <v>16756.489999999998</v>
      </c>
      <c r="Z25" s="13">
        <f t="shared" si="9"/>
        <v>15874.669999999998</v>
      </c>
    </row>
    <row r="26" spans="1:27" x14ac:dyDescent="0.3">
      <c r="A26" s="11" t="s">
        <v>20</v>
      </c>
      <c r="B26" s="12">
        <v>31.5</v>
      </c>
      <c r="C26" s="12">
        <v>31.5</v>
      </c>
      <c r="D26" s="13">
        <v>0</v>
      </c>
      <c r="E26" s="12">
        <v>501.61</v>
      </c>
      <c r="F26" s="13">
        <v>470.11</v>
      </c>
      <c r="G26" s="12">
        <v>501.61</v>
      </c>
      <c r="H26" s="13">
        <v>470.11</v>
      </c>
      <c r="I26" s="12">
        <v>501.61</v>
      </c>
      <c r="J26" s="13">
        <v>470.11</v>
      </c>
      <c r="K26" s="12">
        <v>501.61</v>
      </c>
      <c r="L26" s="13">
        <v>470.11</v>
      </c>
      <c r="N26" s="37">
        <v>1612</v>
      </c>
      <c r="P26" s="15">
        <f>$N26*D26/1000</f>
        <v>0</v>
      </c>
      <c r="Q26" s="15">
        <f>$N26*F26/1000</f>
        <v>757.81732000000011</v>
      </c>
      <c r="R26" s="15">
        <f>$N26*H26/1000</f>
        <v>757.81732000000011</v>
      </c>
      <c r="S26" s="15">
        <f>$N26*J26/1000</f>
        <v>757.81732000000011</v>
      </c>
      <c r="T26" s="15">
        <f>$N26*L26/1000</f>
        <v>757.81732000000011</v>
      </c>
      <c r="V26" s="13">
        <f t="shared" si="5"/>
        <v>0</v>
      </c>
      <c r="W26" s="13">
        <f t="shared" si="6"/>
        <v>470.11</v>
      </c>
      <c r="X26" s="13">
        <f t="shared" si="7"/>
        <v>470.11</v>
      </c>
      <c r="Y26" s="13">
        <f t="shared" si="8"/>
        <v>470.11</v>
      </c>
      <c r="Z26" s="13">
        <f t="shared" si="9"/>
        <v>470.11</v>
      </c>
    </row>
    <row r="27" spans="1:27" x14ac:dyDescent="0.3">
      <c r="A27" s="11" t="s">
        <v>21</v>
      </c>
      <c r="B27" s="12">
        <v>820.95</v>
      </c>
      <c r="C27" s="12">
        <v>1765.7200000000003</v>
      </c>
      <c r="D27" s="13">
        <v>944.77000000000021</v>
      </c>
      <c r="E27" s="12">
        <v>4558.25</v>
      </c>
      <c r="F27" s="13">
        <v>3737.3</v>
      </c>
      <c r="G27" s="12">
        <v>4558.25</v>
      </c>
      <c r="H27" s="13">
        <v>3737.3</v>
      </c>
      <c r="I27" s="12">
        <v>4558.25</v>
      </c>
      <c r="J27" s="13">
        <v>3737.3</v>
      </c>
      <c r="K27" s="12">
        <v>4558.25</v>
      </c>
      <c r="L27" s="13">
        <v>3737.3</v>
      </c>
      <c r="N27" s="37">
        <v>1612</v>
      </c>
      <c r="P27" s="15">
        <f>$N27*D27/1000</f>
        <v>1522.9692400000001</v>
      </c>
      <c r="Q27" s="15">
        <f>$N27*F27/1000</f>
        <v>6024.5276000000003</v>
      </c>
      <c r="R27" s="15">
        <f>$N27*H27/1000</f>
        <v>6024.5276000000003</v>
      </c>
      <c r="S27" s="15">
        <f>$N27*J27/1000</f>
        <v>6024.5276000000003</v>
      </c>
      <c r="T27" s="15">
        <f>$N27*L27/1000</f>
        <v>6024.5276000000003</v>
      </c>
      <c r="V27" s="13">
        <f t="shared" si="5"/>
        <v>944.77000000000021</v>
      </c>
      <c r="W27" s="13">
        <f t="shared" si="6"/>
        <v>3737.3</v>
      </c>
      <c r="X27" s="13">
        <f t="shared" si="7"/>
        <v>3737.3</v>
      </c>
      <c r="Y27" s="13">
        <f t="shared" si="8"/>
        <v>3737.3</v>
      </c>
      <c r="Z27" s="13">
        <f t="shared" si="9"/>
        <v>3737.3</v>
      </c>
    </row>
    <row r="28" spans="1:27" x14ac:dyDescent="0.3">
      <c r="A28" s="11" t="s">
        <v>22</v>
      </c>
      <c r="B28" s="12">
        <v>412.71</v>
      </c>
      <c r="C28" s="12">
        <v>3259.9399999999996</v>
      </c>
      <c r="D28" s="13">
        <v>2847.2299999999996</v>
      </c>
      <c r="E28" s="12">
        <v>3987.5600000000004</v>
      </c>
      <c r="F28" s="13">
        <v>3574.8500000000004</v>
      </c>
      <c r="G28" s="12">
        <v>3930.49</v>
      </c>
      <c r="H28" s="13">
        <v>3517.7799999999997</v>
      </c>
      <c r="I28" s="12">
        <v>5503.98</v>
      </c>
      <c r="J28" s="13">
        <v>5091.2699999999995</v>
      </c>
      <c r="K28" s="12">
        <v>4511.18</v>
      </c>
      <c r="L28" s="13">
        <v>4098.47</v>
      </c>
      <c r="N28" s="37">
        <v>1351</v>
      </c>
      <c r="P28" s="15">
        <f>$N28*D28/1000</f>
        <v>3846.6077299999997</v>
      </c>
      <c r="Q28" s="15">
        <f>$N28*F28/1000</f>
        <v>4829.6223500000006</v>
      </c>
      <c r="R28" s="15">
        <f>$N28*H28/1000</f>
        <v>4752.5207799999989</v>
      </c>
      <c r="S28" s="15">
        <f>$N28*J28/1000</f>
        <v>6878.3057699999999</v>
      </c>
      <c r="T28" s="15">
        <f>$N28*L28/1000</f>
        <v>5537.0329700000011</v>
      </c>
      <c r="V28" s="13">
        <f t="shared" si="5"/>
        <v>2847.2299999999996</v>
      </c>
      <c r="W28" s="13">
        <f t="shared" si="6"/>
        <v>3574.8500000000004</v>
      </c>
      <c r="X28" s="13">
        <f t="shared" si="7"/>
        <v>3517.7799999999997</v>
      </c>
      <c r="Y28" s="13">
        <f t="shared" si="8"/>
        <v>5091.2699999999995</v>
      </c>
      <c r="Z28" s="13">
        <f t="shared" si="9"/>
        <v>4098.47</v>
      </c>
    </row>
    <row r="29" spans="1:27" x14ac:dyDescent="0.3">
      <c r="A29" s="11" t="s">
        <v>23</v>
      </c>
      <c r="B29" s="12">
        <v>0</v>
      </c>
      <c r="C29" s="12">
        <v>0</v>
      </c>
      <c r="D29" s="13">
        <v>0</v>
      </c>
      <c r="E29" s="12">
        <v>0</v>
      </c>
      <c r="F29" s="13">
        <v>0</v>
      </c>
      <c r="G29" s="12">
        <v>0</v>
      </c>
      <c r="H29" s="13">
        <v>0</v>
      </c>
      <c r="I29" s="12">
        <v>0</v>
      </c>
      <c r="J29" s="13">
        <v>0</v>
      </c>
      <c r="K29" s="12">
        <v>0</v>
      </c>
      <c r="L29" s="13">
        <v>0</v>
      </c>
      <c r="N29" s="37"/>
      <c r="P29" s="16"/>
      <c r="Q29" s="16"/>
      <c r="R29" s="16"/>
      <c r="S29" s="16"/>
      <c r="T29" s="16"/>
      <c r="V29" s="13">
        <f t="shared" si="5"/>
        <v>0</v>
      </c>
      <c r="W29" s="13">
        <f t="shared" si="6"/>
        <v>0</v>
      </c>
      <c r="X29" s="13">
        <f t="shared" si="7"/>
        <v>0</v>
      </c>
      <c r="Y29" s="13">
        <f t="shared" si="8"/>
        <v>0</v>
      </c>
      <c r="Z29" s="13">
        <f t="shared" si="9"/>
        <v>0</v>
      </c>
    </row>
    <row r="30" spans="1:27" x14ac:dyDescent="0.3">
      <c r="A30" s="11" t="s">
        <v>24</v>
      </c>
      <c r="B30" s="12">
        <v>0</v>
      </c>
      <c r="C30" s="12">
        <v>1250</v>
      </c>
      <c r="D30" s="13">
        <v>1250</v>
      </c>
      <c r="E30" s="12">
        <v>2550</v>
      </c>
      <c r="F30" s="13">
        <v>2550</v>
      </c>
      <c r="G30" s="12">
        <v>2550</v>
      </c>
      <c r="H30" s="13">
        <v>2550</v>
      </c>
      <c r="I30" s="12">
        <v>2550</v>
      </c>
      <c r="J30" s="13">
        <v>2550</v>
      </c>
      <c r="K30" s="12">
        <v>2550</v>
      </c>
      <c r="L30" s="13">
        <v>2550</v>
      </c>
      <c r="N30" s="37"/>
      <c r="P30" s="16"/>
      <c r="Q30" s="16"/>
      <c r="R30" s="16"/>
      <c r="S30" s="16"/>
      <c r="T30" s="16"/>
      <c r="V30" s="13">
        <f t="shared" si="5"/>
        <v>1250</v>
      </c>
      <c r="W30" s="13">
        <f t="shared" si="6"/>
        <v>2550</v>
      </c>
      <c r="X30" s="13">
        <f t="shared" si="7"/>
        <v>2550</v>
      </c>
      <c r="Y30" s="13">
        <f t="shared" si="8"/>
        <v>2550</v>
      </c>
      <c r="Z30" s="13">
        <f t="shared" si="9"/>
        <v>2550</v>
      </c>
    </row>
    <row r="31" spans="1:27" x14ac:dyDescent="0.3">
      <c r="A31" s="11" t="s">
        <v>25</v>
      </c>
      <c r="B31" s="12">
        <v>0</v>
      </c>
      <c r="C31" s="12">
        <v>0</v>
      </c>
      <c r="D31" s="13">
        <v>0</v>
      </c>
      <c r="E31" s="12">
        <v>0</v>
      </c>
      <c r="F31" s="13">
        <v>0</v>
      </c>
      <c r="G31" s="12">
        <v>0</v>
      </c>
      <c r="H31" s="13">
        <v>0</v>
      </c>
      <c r="I31" s="12">
        <v>0</v>
      </c>
      <c r="J31" s="13">
        <v>0</v>
      </c>
      <c r="K31" s="12">
        <v>0</v>
      </c>
      <c r="L31" s="13">
        <v>0</v>
      </c>
      <c r="N31" s="37"/>
      <c r="P31" s="16"/>
      <c r="Q31" s="16"/>
      <c r="R31" s="16"/>
      <c r="S31" s="16"/>
      <c r="T31" s="16"/>
      <c r="V31" s="13">
        <f t="shared" si="5"/>
        <v>0</v>
      </c>
      <c r="W31" s="13">
        <f t="shared" si="6"/>
        <v>0</v>
      </c>
      <c r="X31" s="13">
        <f t="shared" si="7"/>
        <v>0</v>
      </c>
      <c r="Y31" s="13">
        <f t="shared" si="8"/>
        <v>0</v>
      </c>
      <c r="Z31" s="13">
        <f t="shared" si="9"/>
        <v>0</v>
      </c>
    </row>
    <row r="32" spans="1:27" x14ac:dyDescent="0.3">
      <c r="A32" s="11" t="s">
        <v>26</v>
      </c>
      <c r="B32" s="12">
        <v>6.66</v>
      </c>
      <c r="C32" s="12">
        <v>6.66</v>
      </c>
      <c r="D32" s="13">
        <v>0</v>
      </c>
      <c r="E32" s="12">
        <v>6.66</v>
      </c>
      <c r="F32" s="13">
        <v>0</v>
      </c>
      <c r="G32" s="12">
        <v>6.66</v>
      </c>
      <c r="H32" s="13">
        <v>0</v>
      </c>
      <c r="I32" s="12">
        <v>6.66</v>
      </c>
      <c r="J32" s="13">
        <v>0</v>
      </c>
      <c r="K32" s="12">
        <v>6.66</v>
      </c>
      <c r="L32" s="13">
        <v>0</v>
      </c>
      <c r="N32" s="37"/>
      <c r="P32" s="15">
        <f>$N32*D32/1000</f>
        <v>0</v>
      </c>
      <c r="Q32" s="15">
        <f>$N32*F32/1000</f>
        <v>0</v>
      </c>
      <c r="R32" s="15">
        <f>$N32*H32/1000</f>
        <v>0</v>
      </c>
      <c r="S32" s="15">
        <f>$N32*J32/1000</f>
        <v>0</v>
      </c>
      <c r="T32" s="15">
        <f>$N32*L32/1000</f>
        <v>0</v>
      </c>
      <c r="V32" s="13">
        <f t="shared" si="5"/>
        <v>0</v>
      </c>
      <c r="W32" s="13">
        <f t="shared" si="6"/>
        <v>0</v>
      </c>
      <c r="X32" s="13">
        <f t="shared" si="7"/>
        <v>0</v>
      </c>
      <c r="Y32" s="13">
        <f t="shared" si="8"/>
        <v>0</v>
      </c>
      <c r="Z32" s="13">
        <f t="shared" si="9"/>
        <v>0</v>
      </c>
    </row>
    <row r="33" spans="1:26" x14ac:dyDescent="0.3">
      <c r="A33" s="11" t="s">
        <v>27</v>
      </c>
      <c r="B33" s="12">
        <v>0</v>
      </c>
      <c r="C33" s="12">
        <v>0</v>
      </c>
      <c r="D33" s="13">
        <v>0</v>
      </c>
      <c r="E33" s="12">
        <v>0</v>
      </c>
      <c r="F33" s="13">
        <v>0</v>
      </c>
      <c r="G33" s="12">
        <v>0</v>
      </c>
      <c r="H33" s="13">
        <v>0</v>
      </c>
      <c r="I33" s="12">
        <v>0</v>
      </c>
      <c r="J33" s="13">
        <v>0</v>
      </c>
      <c r="K33" s="12">
        <v>0</v>
      </c>
      <c r="L33" s="13">
        <v>0</v>
      </c>
      <c r="N33" s="37"/>
      <c r="P33" s="16"/>
      <c r="Q33" s="16"/>
      <c r="R33" s="16"/>
      <c r="S33" s="16"/>
      <c r="T33" s="16"/>
      <c r="V33" s="13">
        <f t="shared" si="5"/>
        <v>0</v>
      </c>
      <c r="W33" s="13">
        <f t="shared" si="6"/>
        <v>0</v>
      </c>
      <c r="X33" s="13">
        <f t="shared" si="7"/>
        <v>0</v>
      </c>
      <c r="Y33" s="13">
        <f t="shared" si="8"/>
        <v>0</v>
      </c>
      <c r="Z33" s="13">
        <f t="shared" si="9"/>
        <v>0</v>
      </c>
    </row>
    <row r="34" spans="1:26" x14ac:dyDescent="0.3">
      <c r="A34" s="11" t="s">
        <v>28</v>
      </c>
      <c r="B34" s="12">
        <v>14722.900000000001</v>
      </c>
      <c r="C34" s="12">
        <v>7858.08</v>
      </c>
      <c r="D34" s="13">
        <v>-6864.8200000000015</v>
      </c>
      <c r="E34" s="12">
        <v>0</v>
      </c>
      <c r="F34" s="13">
        <v>-14722.900000000001</v>
      </c>
      <c r="G34" s="12">
        <v>0</v>
      </c>
      <c r="H34" s="13">
        <v>-14722.900000000001</v>
      </c>
      <c r="I34" s="12">
        <v>0</v>
      </c>
      <c r="J34" s="13">
        <v>-14722.900000000001</v>
      </c>
      <c r="K34" s="12">
        <v>0</v>
      </c>
      <c r="L34" s="13">
        <v>-14722.900000000001</v>
      </c>
      <c r="N34" s="37">
        <f>EIA!O11</f>
        <v>1725</v>
      </c>
      <c r="P34" s="16"/>
      <c r="Q34" s="16"/>
      <c r="R34" s="16"/>
      <c r="S34" s="16"/>
      <c r="T34" s="16"/>
      <c r="V34" s="13">
        <f t="shared" si="5"/>
        <v>-6864.8200000000015</v>
      </c>
      <c r="W34" s="13">
        <f t="shared" si="6"/>
        <v>-14722.900000000001</v>
      </c>
      <c r="X34" s="13">
        <f t="shared" si="7"/>
        <v>-14722.900000000001</v>
      </c>
      <c r="Y34" s="13">
        <f t="shared" si="8"/>
        <v>-14722.900000000001</v>
      </c>
      <c r="Z34" s="13">
        <f t="shared" si="9"/>
        <v>-14722.900000000001</v>
      </c>
    </row>
    <row r="35" spans="1:26" x14ac:dyDescent="0.3">
      <c r="A35" s="11" t="s">
        <v>29</v>
      </c>
      <c r="B35" s="12">
        <v>0</v>
      </c>
      <c r="C35" s="12">
        <v>0</v>
      </c>
      <c r="D35" s="13">
        <v>0</v>
      </c>
      <c r="E35" s="12">
        <v>10081.029999999999</v>
      </c>
      <c r="F35" s="13">
        <v>10081.029999999999</v>
      </c>
      <c r="G35" s="12">
        <v>9737.619999999999</v>
      </c>
      <c r="H35" s="13">
        <v>9737.619999999999</v>
      </c>
      <c r="I35" s="12">
        <v>9931.7799999999988</v>
      </c>
      <c r="J35" s="13">
        <v>9931.7799999999988</v>
      </c>
      <c r="K35" s="12">
        <v>10370.720000000001</v>
      </c>
      <c r="L35" s="13">
        <v>10370.720000000001</v>
      </c>
      <c r="N35" s="37">
        <v>9201</v>
      </c>
      <c r="P35" s="15">
        <f>$N35*D35/1000</f>
        <v>0</v>
      </c>
      <c r="Q35" s="15">
        <f>$N35*F35/1000</f>
        <v>92755.557029999982</v>
      </c>
      <c r="R35" s="15">
        <f>$N34*H35/1000</f>
        <v>16797.394499999999</v>
      </c>
      <c r="S35" s="15">
        <f>$N35*J35/1000</f>
        <v>91382.307779999988</v>
      </c>
      <c r="T35" s="15">
        <f>$N35*L35/1000</f>
        <v>95420.994720000017</v>
      </c>
      <c r="V35" s="13">
        <f t="shared" si="5"/>
        <v>0</v>
      </c>
      <c r="W35" s="13">
        <f t="shared" si="6"/>
        <v>10081.029999999999</v>
      </c>
      <c r="X35" s="13">
        <f t="shared" si="7"/>
        <v>9737.619999999999</v>
      </c>
      <c r="Y35" s="13">
        <f t="shared" si="8"/>
        <v>9931.7799999999988</v>
      </c>
      <c r="Z35" s="13">
        <f t="shared" si="9"/>
        <v>10370.720000000001</v>
      </c>
    </row>
    <row r="36" spans="1:26" x14ac:dyDescent="0.3">
      <c r="A36" s="11" t="s">
        <v>30</v>
      </c>
      <c r="B36" s="13">
        <v>0</v>
      </c>
      <c r="C36" s="13">
        <v>0</v>
      </c>
      <c r="D36" s="13">
        <v>0</v>
      </c>
      <c r="E36" s="13">
        <v>10081.029999999999</v>
      </c>
      <c r="F36" s="13">
        <v>10081.029999999999</v>
      </c>
      <c r="G36" s="13">
        <v>9737.619999999999</v>
      </c>
      <c r="H36" s="13">
        <v>9737.619999999999</v>
      </c>
      <c r="I36" s="13">
        <v>9931.7799999999988</v>
      </c>
      <c r="J36" s="13">
        <v>9931.7799999999988</v>
      </c>
      <c r="K36" s="13">
        <v>10370.720000000001</v>
      </c>
      <c r="L36" s="13">
        <v>10370.720000000001</v>
      </c>
      <c r="N36" s="37">
        <f>N19</f>
        <v>1033.5362943024952</v>
      </c>
      <c r="P36" s="15">
        <f>$N36*D36/1000</f>
        <v>0</v>
      </c>
      <c r="Q36" s="15">
        <f>$N36*F36/1000</f>
        <v>10419.110388952282</v>
      </c>
      <c r="R36" s="15">
        <f>$N36*H36/1000</f>
        <v>10064.183690125863</v>
      </c>
      <c r="S36" s="15">
        <f>$N36*J36/1000</f>
        <v>10264.855097027636</v>
      </c>
      <c r="T36" s="15">
        <f>$N36*L36/1000</f>
        <v>10718.515518048775</v>
      </c>
      <c r="V36" s="13">
        <f t="shared" si="5"/>
        <v>0</v>
      </c>
      <c r="W36" s="13">
        <f t="shared" si="6"/>
        <v>10081.029999999999</v>
      </c>
      <c r="X36" s="13">
        <f t="shared" si="7"/>
        <v>9737.619999999999</v>
      </c>
      <c r="Y36" s="13">
        <f t="shared" si="8"/>
        <v>9931.7799999999988</v>
      </c>
      <c r="Z36" s="13">
        <f t="shared" si="9"/>
        <v>10370.720000000001</v>
      </c>
    </row>
    <row r="37" spans="1:26" x14ac:dyDescent="0.3">
      <c r="A37" s="11" t="s">
        <v>31</v>
      </c>
      <c r="B37" s="12">
        <v>121.4</v>
      </c>
      <c r="C37" s="12">
        <v>121.4</v>
      </c>
      <c r="D37" s="13">
        <v>0</v>
      </c>
      <c r="E37" s="12">
        <v>121.4</v>
      </c>
      <c r="F37" s="13">
        <v>0</v>
      </c>
      <c r="G37" s="12">
        <v>121.4</v>
      </c>
      <c r="H37" s="13">
        <v>0</v>
      </c>
      <c r="I37" s="12">
        <v>121.4</v>
      </c>
      <c r="J37" s="13">
        <v>0</v>
      </c>
      <c r="K37" s="12">
        <v>121.4</v>
      </c>
      <c r="L37" s="13">
        <v>0</v>
      </c>
      <c r="N37" s="37"/>
      <c r="P37" s="16"/>
      <c r="Q37" s="16"/>
      <c r="R37" s="16"/>
      <c r="S37" s="16"/>
      <c r="T37" s="16"/>
      <c r="V37" s="13">
        <f t="shared" si="5"/>
        <v>0</v>
      </c>
      <c r="W37" s="13">
        <f t="shared" si="6"/>
        <v>0</v>
      </c>
      <c r="X37" s="13">
        <f t="shared" si="7"/>
        <v>0</v>
      </c>
      <c r="Y37" s="13">
        <f t="shared" si="8"/>
        <v>0</v>
      </c>
      <c r="Z37" s="13">
        <f t="shared" si="9"/>
        <v>0</v>
      </c>
    </row>
    <row r="38" spans="1:26" x14ac:dyDescent="0.3">
      <c r="A38" s="1"/>
    </row>
    <row r="39" spans="1:26" x14ac:dyDescent="0.3">
      <c r="B39" s="1" t="s">
        <v>174</v>
      </c>
      <c r="V39" s="13">
        <f>V6+V23</f>
        <v>1869.7599999999998</v>
      </c>
      <c r="W39" s="13">
        <f t="shared" ref="W39:Z39" si="10">W6+W23</f>
        <v>4267.9800000000014</v>
      </c>
      <c r="X39" s="13">
        <f t="shared" si="10"/>
        <v>3928.5099999999989</v>
      </c>
      <c r="Y39" s="13">
        <f t="shared" si="10"/>
        <v>4208.95</v>
      </c>
      <c r="Z39" s="13">
        <f t="shared" si="10"/>
        <v>4365.5600000000004</v>
      </c>
    </row>
    <row r="40" spans="1:26" x14ac:dyDescent="0.3">
      <c r="A40" s="3"/>
      <c r="B40" s="4"/>
      <c r="C40" s="114" t="s">
        <v>173</v>
      </c>
      <c r="D40" s="114"/>
      <c r="E40" s="104" t="s">
        <v>33</v>
      </c>
      <c r="F40" s="104"/>
      <c r="G40" s="104" t="s">
        <v>34</v>
      </c>
      <c r="H40" s="104"/>
      <c r="I40" s="104" t="s">
        <v>35</v>
      </c>
      <c r="J40" s="104"/>
      <c r="K40" s="104" t="s">
        <v>36</v>
      </c>
      <c r="L40" s="104"/>
      <c r="V40" s="13">
        <f t="shared" ref="V40:Z40" si="11">V7+V24</f>
        <v>0</v>
      </c>
      <c r="W40" s="13">
        <f t="shared" si="11"/>
        <v>6104.3099999999995</v>
      </c>
      <c r="X40" s="13">
        <f t="shared" si="11"/>
        <v>6396.79</v>
      </c>
      <c r="Y40" s="13">
        <f t="shared" si="11"/>
        <v>6396.7800000000007</v>
      </c>
      <c r="Z40" s="13">
        <f t="shared" si="11"/>
        <v>6396.79</v>
      </c>
    </row>
    <row r="41" spans="1:26" x14ac:dyDescent="0.3">
      <c r="A41" s="3"/>
      <c r="B41" s="6">
        <v>2020</v>
      </c>
      <c r="C41" s="7" t="s">
        <v>1</v>
      </c>
      <c r="D41" s="8" t="s">
        <v>8</v>
      </c>
      <c r="E41" s="7" t="s">
        <v>1</v>
      </c>
      <c r="F41" s="8" t="s">
        <v>8</v>
      </c>
      <c r="G41" s="7" t="s">
        <v>1</v>
      </c>
      <c r="H41" s="8" t="s">
        <v>8</v>
      </c>
      <c r="I41" s="7" t="s">
        <v>1</v>
      </c>
      <c r="J41" s="8" t="s">
        <v>8</v>
      </c>
      <c r="K41" s="7" t="s">
        <v>1</v>
      </c>
      <c r="L41" s="8" t="s">
        <v>8</v>
      </c>
      <c r="V41" s="13">
        <f t="shared" ref="V41:Z41" si="12">V8+V25</f>
        <v>9000</v>
      </c>
      <c r="W41" s="13">
        <f t="shared" si="12"/>
        <v>14528.63</v>
      </c>
      <c r="X41" s="13">
        <f t="shared" si="12"/>
        <v>14363.650000000001</v>
      </c>
      <c r="Y41" s="13">
        <f t="shared" si="12"/>
        <v>16756.489999999998</v>
      </c>
      <c r="Z41" s="13">
        <f t="shared" si="12"/>
        <v>15874.669999999998</v>
      </c>
    </row>
    <row r="42" spans="1:26" x14ac:dyDescent="0.3">
      <c r="A42" s="113" t="s">
        <v>37</v>
      </c>
      <c r="B42" s="113"/>
      <c r="C42" s="113"/>
      <c r="D42" s="113"/>
      <c r="E42" s="113"/>
      <c r="F42" s="113"/>
      <c r="G42" s="113"/>
      <c r="H42" s="113"/>
      <c r="I42" s="113"/>
      <c r="J42" s="113"/>
      <c r="K42" s="113"/>
      <c r="L42" s="113"/>
      <c r="V42" s="13">
        <f t="shared" ref="V42:Z42" si="13">V9+V26</f>
        <v>6803.05</v>
      </c>
      <c r="W42" s="13">
        <f t="shared" si="13"/>
        <v>24270.79</v>
      </c>
      <c r="X42" s="13">
        <f t="shared" si="13"/>
        <v>27359.369999999995</v>
      </c>
      <c r="Y42" s="13">
        <f t="shared" si="13"/>
        <v>25347.74</v>
      </c>
      <c r="Z42" s="13">
        <f t="shared" si="13"/>
        <v>25550.86</v>
      </c>
    </row>
    <row r="43" spans="1:26" x14ac:dyDescent="0.3">
      <c r="A43" s="11" t="s">
        <v>17</v>
      </c>
      <c r="B43" s="12">
        <v>1916.9</v>
      </c>
      <c r="C43" s="12">
        <v>3786.66</v>
      </c>
      <c r="D43" s="13">
        <v>1869.7599999999998</v>
      </c>
      <c r="E43" s="13">
        <v>4686.3700000000008</v>
      </c>
      <c r="F43" s="13">
        <v>2769.4700000000007</v>
      </c>
      <c r="G43" s="13">
        <v>4346.8999999999987</v>
      </c>
      <c r="H43" s="13">
        <v>2429.9999999999986</v>
      </c>
      <c r="I43" s="13">
        <v>4600.0599999999995</v>
      </c>
      <c r="J43" s="13">
        <v>2683.1599999999994</v>
      </c>
      <c r="K43" s="13">
        <v>4756.670000000001</v>
      </c>
      <c r="L43" s="13">
        <v>2839.7700000000009</v>
      </c>
      <c r="V43" s="13">
        <f t="shared" ref="V43:Z43" si="14">V10+V27</f>
        <v>5265.75</v>
      </c>
      <c r="W43" s="13">
        <f t="shared" si="14"/>
        <v>13480.740000000002</v>
      </c>
      <c r="X43" s="13">
        <f t="shared" si="14"/>
        <v>13480.740000000002</v>
      </c>
      <c r="Y43" s="13">
        <f t="shared" si="14"/>
        <v>13480.73</v>
      </c>
      <c r="Z43" s="13">
        <f t="shared" si="14"/>
        <v>13480.740000000002</v>
      </c>
    </row>
    <row r="44" spans="1:26" x14ac:dyDescent="0.3">
      <c r="A44" s="11" t="s">
        <v>18</v>
      </c>
      <c r="B44" s="12">
        <v>0</v>
      </c>
      <c r="C44" s="12">
        <v>0</v>
      </c>
      <c r="D44" s="13">
        <v>0</v>
      </c>
      <c r="E44" s="13">
        <v>6104.3099999999995</v>
      </c>
      <c r="F44" s="13">
        <v>6104.3099999999995</v>
      </c>
      <c r="G44" s="13">
        <v>6396.79</v>
      </c>
      <c r="H44" s="13">
        <v>6396.79</v>
      </c>
      <c r="I44" s="13">
        <v>6396.7800000000007</v>
      </c>
      <c r="J44" s="13">
        <v>6396.7800000000007</v>
      </c>
      <c r="K44" s="13">
        <v>6396.79</v>
      </c>
      <c r="L44" s="13">
        <v>6396.79</v>
      </c>
      <c r="V44" s="13">
        <f t="shared" ref="V44:Z44" si="15">V11+V28</f>
        <v>4122.28</v>
      </c>
      <c r="W44" s="13">
        <f t="shared" si="15"/>
        <v>9514.36</v>
      </c>
      <c r="X44" s="13">
        <f t="shared" si="15"/>
        <v>9963.1699999999983</v>
      </c>
      <c r="Y44" s="13">
        <f t="shared" si="15"/>
        <v>11457.02</v>
      </c>
      <c r="Z44" s="13">
        <f t="shared" si="15"/>
        <v>10826.19</v>
      </c>
    </row>
    <row r="45" spans="1:26" x14ac:dyDescent="0.3">
      <c r="A45" s="11" t="s">
        <v>19</v>
      </c>
      <c r="B45" s="12">
        <v>0</v>
      </c>
      <c r="C45" s="12">
        <v>0</v>
      </c>
      <c r="D45" s="13">
        <v>0</v>
      </c>
      <c r="E45" s="13">
        <v>0</v>
      </c>
      <c r="F45" s="13">
        <v>0</v>
      </c>
      <c r="G45" s="13">
        <v>0</v>
      </c>
      <c r="H45" s="13">
        <v>0</v>
      </c>
      <c r="I45" s="13">
        <v>0</v>
      </c>
      <c r="J45" s="13">
        <v>0</v>
      </c>
      <c r="K45" s="13">
        <v>0</v>
      </c>
      <c r="L45" s="13">
        <v>0</v>
      </c>
      <c r="V45" s="13">
        <f t="shared" ref="V45:Z45" si="16">V12+V29</f>
        <v>0</v>
      </c>
      <c r="W45" s="13">
        <f t="shared" si="16"/>
        <v>0</v>
      </c>
      <c r="X45" s="13">
        <f t="shared" si="16"/>
        <v>0</v>
      </c>
      <c r="Y45" s="13">
        <f t="shared" si="16"/>
        <v>0</v>
      </c>
      <c r="Z45" s="13">
        <f t="shared" si="16"/>
        <v>0</v>
      </c>
    </row>
    <row r="46" spans="1:26" x14ac:dyDescent="0.3">
      <c r="A46" s="11" t="s">
        <v>20</v>
      </c>
      <c r="B46" s="12">
        <v>211.97</v>
      </c>
      <c r="C46" s="12">
        <v>6602.41</v>
      </c>
      <c r="D46" s="13">
        <v>6390.44</v>
      </c>
      <c r="E46" s="13">
        <v>18273.79</v>
      </c>
      <c r="F46" s="13">
        <v>18061.82</v>
      </c>
      <c r="G46" s="13">
        <v>21362.369999999995</v>
      </c>
      <c r="H46" s="13">
        <v>21150.399999999994</v>
      </c>
      <c r="I46" s="13">
        <v>19350.740000000002</v>
      </c>
      <c r="J46" s="13">
        <v>19138.77</v>
      </c>
      <c r="K46" s="13">
        <v>19553.86</v>
      </c>
      <c r="L46" s="13">
        <v>19341.89</v>
      </c>
      <c r="V46" s="13">
        <f t="shared" ref="V46:Z46" si="17">V13+V30</f>
        <v>1250</v>
      </c>
      <c r="W46" s="13">
        <f t="shared" si="17"/>
        <v>2550</v>
      </c>
      <c r="X46" s="13">
        <f t="shared" si="17"/>
        <v>2550</v>
      </c>
      <c r="Y46" s="13">
        <f t="shared" si="17"/>
        <v>2550</v>
      </c>
      <c r="Z46" s="13">
        <f t="shared" si="17"/>
        <v>2550</v>
      </c>
    </row>
    <row r="47" spans="1:26" x14ac:dyDescent="0.3">
      <c r="A47" s="11" t="s">
        <v>38</v>
      </c>
      <c r="B47" s="12">
        <v>730.33</v>
      </c>
      <c r="C47" s="12">
        <v>3507.21</v>
      </c>
      <c r="D47" s="13">
        <v>2776.88</v>
      </c>
      <c r="E47" s="13">
        <v>6280.84</v>
      </c>
      <c r="F47" s="13">
        <v>5550.51</v>
      </c>
      <c r="G47" s="13">
        <v>6280.84</v>
      </c>
      <c r="H47" s="13">
        <v>5550.51</v>
      </c>
      <c r="I47" s="13">
        <v>6280.83</v>
      </c>
      <c r="J47" s="13">
        <v>5550.5</v>
      </c>
      <c r="K47" s="13">
        <v>6280.84</v>
      </c>
      <c r="L47" s="13">
        <v>5550.51</v>
      </c>
      <c r="V47" s="13">
        <f t="shared" ref="V47:Z47" si="18">V14+V31</f>
        <v>0</v>
      </c>
      <c r="W47" s="13">
        <f t="shared" si="18"/>
        <v>0</v>
      </c>
      <c r="X47" s="13">
        <f t="shared" si="18"/>
        <v>0</v>
      </c>
      <c r="Y47" s="13">
        <f t="shared" si="18"/>
        <v>0</v>
      </c>
      <c r="Z47" s="13">
        <f t="shared" si="18"/>
        <v>0</v>
      </c>
    </row>
    <row r="48" spans="1:26" x14ac:dyDescent="0.3">
      <c r="A48" s="11" t="s">
        <v>22</v>
      </c>
      <c r="B48" s="12">
        <v>223.75</v>
      </c>
      <c r="C48" s="12">
        <v>1083.68</v>
      </c>
      <c r="D48" s="13">
        <v>859.93000000000006</v>
      </c>
      <c r="E48" s="13">
        <v>5403.1</v>
      </c>
      <c r="F48" s="13">
        <v>5179.3500000000004</v>
      </c>
      <c r="G48" s="13">
        <v>6086.25</v>
      </c>
      <c r="H48" s="13">
        <v>5862.5</v>
      </c>
      <c r="I48" s="13">
        <v>6025.5</v>
      </c>
      <c r="J48" s="13">
        <v>5801.75</v>
      </c>
      <c r="K48" s="13">
        <v>5901.46</v>
      </c>
      <c r="L48" s="13">
        <v>5677.71</v>
      </c>
      <c r="V48" s="13">
        <f t="shared" ref="V48:Z48" si="19">V15+V32</f>
        <v>340.98999999999978</v>
      </c>
      <c r="W48" s="13">
        <f t="shared" si="19"/>
        <v>344.32999999999993</v>
      </c>
      <c r="X48" s="13">
        <f t="shared" si="19"/>
        <v>344.32999999999993</v>
      </c>
      <c r="Y48" s="13">
        <f t="shared" si="19"/>
        <v>344.32999999999993</v>
      </c>
      <c r="Z48" s="13">
        <f t="shared" si="19"/>
        <v>344.32999999999993</v>
      </c>
    </row>
    <row r="49" spans="1:26" x14ac:dyDescent="0.3">
      <c r="A49" s="11" t="s">
        <v>23</v>
      </c>
      <c r="B49" s="12">
        <v>268.3</v>
      </c>
      <c r="C49" s="12">
        <v>268.3</v>
      </c>
      <c r="D49" s="13">
        <v>0</v>
      </c>
      <c r="E49" s="13">
        <v>268.3</v>
      </c>
      <c r="F49" s="13">
        <v>0</v>
      </c>
      <c r="G49" s="13">
        <v>268.3</v>
      </c>
      <c r="H49" s="13">
        <v>0</v>
      </c>
      <c r="I49" s="13">
        <v>268.3</v>
      </c>
      <c r="J49" s="13">
        <v>0</v>
      </c>
      <c r="K49" s="13">
        <v>268.3</v>
      </c>
      <c r="L49" s="13">
        <v>0</v>
      </c>
      <c r="V49" s="13">
        <f t="shared" ref="V49:Z49" si="20">V16+V33</f>
        <v>-3573</v>
      </c>
      <c r="W49" s="13">
        <f t="shared" si="20"/>
        <v>-1505</v>
      </c>
      <c r="X49" s="13">
        <f t="shared" si="20"/>
        <v>-1505</v>
      </c>
      <c r="Y49" s="13">
        <f t="shared" si="20"/>
        <v>-1505</v>
      </c>
      <c r="Z49" s="13">
        <f t="shared" si="20"/>
        <v>-1505</v>
      </c>
    </row>
    <row r="50" spans="1:26" x14ac:dyDescent="0.3">
      <c r="A50" s="11" t="s">
        <v>24</v>
      </c>
      <c r="B50" s="12">
        <v>0</v>
      </c>
      <c r="C50" s="12">
        <v>0</v>
      </c>
      <c r="D50" s="13">
        <v>0</v>
      </c>
      <c r="E50" s="13">
        <v>0</v>
      </c>
      <c r="F50" s="13">
        <v>0</v>
      </c>
      <c r="G50" s="13">
        <v>0</v>
      </c>
      <c r="H50" s="13">
        <v>0</v>
      </c>
      <c r="I50" s="13">
        <v>0</v>
      </c>
      <c r="J50" s="13">
        <v>0</v>
      </c>
      <c r="K50" s="13">
        <v>0</v>
      </c>
      <c r="L50" s="13">
        <v>0</v>
      </c>
      <c r="V50" s="13">
        <f t="shared" ref="V50:Z50" si="21">V17+V34</f>
        <v>-10069.120000000003</v>
      </c>
      <c r="W50" s="13">
        <f t="shared" si="21"/>
        <v>-26388.100000000002</v>
      </c>
      <c r="X50" s="13">
        <f t="shared" si="21"/>
        <v>-26388.100000000002</v>
      </c>
      <c r="Y50" s="13">
        <f t="shared" si="21"/>
        <v>-26388.100000000002</v>
      </c>
      <c r="Z50" s="13">
        <f t="shared" si="21"/>
        <v>-26388.100000000002</v>
      </c>
    </row>
    <row r="51" spans="1:26" x14ac:dyDescent="0.3">
      <c r="A51" s="11" t="s">
        <v>25</v>
      </c>
      <c r="B51" s="12">
        <v>1485</v>
      </c>
      <c r="C51" s="12">
        <v>1485</v>
      </c>
      <c r="D51" s="13">
        <v>0</v>
      </c>
      <c r="E51" s="13">
        <v>1485</v>
      </c>
      <c r="F51" s="13">
        <v>0</v>
      </c>
      <c r="G51" s="13">
        <v>1485</v>
      </c>
      <c r="H51" s="13">
        <v>0</v>
      </c>
      <c r="I51" s="13">
        <v>1485</v>
      </c>
      <c r="J51" s="13">
        <v>0</v>
      </c>
      <c r="K51" s="13">
        <v>1485</v>
      </c>
      <c r="L51" s="13">
        <v>0</v>
      </c>
      <c r="V51" s="13">
        <f t="shared" ref="V51:Z51" si="22">V18+V35</f>
        <v>0</v>
      </c>
      <c r="W51" s="13">
        <f t="shared" si="22"/>
        <v>22520.989999999998</v>
      </c>
      <c r="X51" s="13">
        <f t="shared" si="22"/>
        <v>21015.35</v>
      </c>
      <c r="Y51" s="13">
        <f t="shared" si="22"/>
        <v>23521.589999999997</v>
      </c>
      <c r="Z51" s="13">
        <f t="shared" si="22"/>
        <v>23676.28</v>
      </c>
    </row>
    <row r="52" spans="1:26" x14ac:dyDescent="0.3">
      <c r="A52" s="11" t="s">
        <v>26</v>
      </c>
      <c r="B52" s="12">
        <v>3900.8</v>
      </c>
      <c r="C52" s="12">
        <v>4071.3</v>
      </c>
      <c r="D52" s="13">
        <v>170.5</v>
      </c>
      <c r="E52" s="13">
        <v>4071.3</v>
      </c>
      <c r="F52" s="13">
        <v>170.5</v>
      </c>
      <c r="G52" s="13">
        <v>4071.3</v>
      </c>
      <c r="H52" s="13">
        <v>170.5</v>
      </c>
      <c r="I52" s="13">
        <v>4071.3</v>
      </c>
      <c r="J52" s="13">
        <v>170.5</v>
      </c>
      <c r="K52" s="13">
        <v>4071.3</v>
      </c>
      <c r="L52" s="13">
        <v>170.5</v>
      </c>
      <c r="V52" s="13">
        <f t="shared" ref="V52:Z52" si="23">V19+V36</f>
        <v>0</v>
      </c>
      <c r="W52" s="13">
        <f t="shared" si="23"/>
        <v>22520.989999999998</v>
      </c>
      <c r="X52" s="13">
        <f t="shared" si="23"/>
        <v>21015.35</v>
      </c>
      <c r="Y52" s="13">
        <f t="shared" si="23"/>
        <v>23521.589999999997</v>
      </c>
      <c r="Z52" s="13">
        <f t="shared" si="23"/>
        <v>23676.28</v>
      </c>
    </row>
    <row r="53" spans="1:26" x14ac:dyDescent="0.3">
      <c r="A53" s="11" t="s">
        <v>27</v>
      </c>
      <c r="B53" s="12">
        <v>3355.2</v>
      </c>
      <c r="C53" s="12">
        <v>1287.2</v>
      </c>
      <c r="D53" s="13">
        <v>-2068</v>
      </c>
      <c r="E53" s="13">
        <v>3355.2</v>
      </c>
      <c r="F53" s="13">
        <v>0</v>
      </c>
      <c r="G53" s="13">
        <v>3355.2</v>
      </c>
      <c r="H53" s="13">
        <v>0</v>
      </c>
      <c r="I53" s="13">
        <v>3355.2</v>
      </c>
      <c r="J53" s="13">
        <v>0</v>
      </c>
      <c r="K53" s="13">
        <v>3355.2</v>
      </c>
      <c r="L53" s="13">
        <v>0</v>
      </c>
      <c r="V53" s="13">
        <f t="shared" ref="V53:Z53" si="24">V20+V37</f>
        <v>0</v>
      </c>
      <c r="W53" s="13">
        <f t="shared" si="24"/>
        <v>0</v>
      </c>
      <c r="X53" s="13">
        <f t="shared" si="24"/>
        <v>0</v>
      </c>
      <c r="Y53" s="13">
        <f t="shared" si="24"/>
        <v>0</v>
      </c>
      <c r="Z53" s="13">
        <f t="shared" si="24"/>
        <v>0</v>
      </c>
    </row>
    <row r="54" spans="1:26" x14ac:dyDescent="0.3">
      <c r="A54" s="11" t="s">
        <v>28</v>
      </c>
      <c r="B54" s="12">
        <v>4026.1</v>
      </c>
      <c r="C54" s="12">
        <v>2657.1600000000003</v>
      </c>
      <c r="D54" s="13">
        <v>-1368.9399999999996</v>
      </c>
      <c r="E54" s="13">
        <v>0</v>
      </c>
      <c r="F54" s="13">
        <v>-4026.1</v>
      </c>
      <c r="G54" s="13">
        <v>0</v>
      </c>
      <c r="H54" s="13">
        <v>-4026.1</v>
      </c>
      <c r="I54" s="13">
        <v>0</v>
      </c>
      <c r="J54" s="13">
        <v>-4026.1</v>
      </c>
      <c r="K54" s="13">
        <v>0</v>
      </c>
      <c r="L54" s="13">
        <v>-4026.1</v>
      </c>
    </row>
    <row r="55" spans="1:26" x14ac:dyDescent="0.3">
      <c r="A55" s="11" t="s">
        <v>29</v>
      </c>
      <c r="B55" s="12">
        <v>0</v>
      </c>
      <c r="C55" s="12">
        <v>0</v>
      </c>
      <c r="D55" s="13">
        <v>0</v>
      </c>
      <c r="E55" s="13">
        <v>3613.4900000000002</v>
      </c>
      <c r="F55" s="13">
        <v>3613.4900000000002</v>
      </c>
      <c r="G55" s="13">
        <v>3267.59</v>
      </c>
      <c r="H55" s="13">
        <v>3267.59</v>
      </c>
      <c r="I55" s="13">
        <v>4356.7</v>
      </c>
      <c r="J55" s="13">
        <v>4356.7</v>
      </c>
      <c r="K55" s="13">
        <v>3926.21</v>
      </c>
      <c r="L55" s="13">
        <v>3926.21</v>
      </c>
    </row>
    <row r="56" spans="1:26" x14ac:dyDescent="0.3">
      <c r="A56" s="11" t="s">
        <v>31</v>
      </c>
      <c r="B56" s="12">
        <v>122.7</v>
      </c>
      <c r="C56" s="12">
        <v>122.7</v>
      </c>
      <c r="D56" s="13">
        <v>0</v>
      </c>
      <c r="E56" s="13">
        <v>122.7</v>
      </c>
      <c r="F56" s="13">
        <v>0</v>
      </c>
      <c r="G56" s="13">
        <v>122.7</v>
      </c>
      <c r="H56" s="13">
        <v>0</v>
      </c>
      <c r="I56" s="13">
        <v>122.7</v>
      </c>
      <c r="J56" s="13">
        <v>0</v>
      </c>
      <c r="K56" s="13">
        <v>122.7</v>
      </c>
      <c r="L56" s="13">
        <v>0</v>
      </c>
    </row>
    <row r="57" spans="1:26" x14ac:dyDescent="0.3">
      <c r="A57" s="17"/>
      <c r="B57" s="17"/>
      <c r="C57" s="17"/>
    </row>
    <row r="58" spans="1:26" x14ac:dyDescent="0.3">
      <c r="A58" s="113" t="s">
        <v>39</v>
      </c>
      <c r="B58" s="113"/>
      <c r="C58" s="113"/>
      <c r="D58" s="113"/>
      <c r="E58" s="113"/>
      <c r="F58" s="113"/>
      <c r="G58" s="113"/>
      <c r="H58" s="113"/>
      <c r="I58" s="113"/>
      <c r="J58" s="113"/>
      <c r="K58" s="113"/>
      <c r="L58" s="113"/>
    </row>
    <row r="59" spans="1:26" x14ac:dyDescent="0.3">
      <c r="A59" s="11" t="s">
        <v>17</v>
      </c>
      <c r="B59" s="12">
        <v>0</v>
      </c>
      <c r="C59" s="12">
        <v>0</v>
      </c>
      <c r="D59" s="13">
        <v>0</v>
      </c>
      <c r="E59" s="13">
        <v>1009.47</v>
      </c>
      <c r="F59" s="13">
        <v>1009.47</v>
      </c>
      <c r="G59" s="13">
        <v>1009.47</v>
      </c>
      <c r="H59" s="13">
        <v>1009.47</v>
      </c>
      <c r="I59" s="13">
        <v>1009.47</v>
      </c>
      <c r="J59" s="13">
        <v>1009.47</v>
      </c>
      <c r="K59" s="13">
        <v>1009.47</v>
      </c>
      <c r="L59" s="13">
        <v>1009.47</v>
      </c>
    </row>
    <row r="60" spans="1:26" x14ac:dyDescent="0.3">
      <c r="A60" s="11" t="s">
        <v>18</v>
      </c>
      <c r="B60" s="12">
        <v>0</v>
      </c>
      <c r="C60" s="12">
        <v>0</v>
      </c>
      <c r="D60" s="13">
        <v>0</v>
      </c>
      <c r="E60" s="13">
        <v>0</v>
      </c>
      <c r="F60" s="13">
        <v>0</v>
      </c>
      <c r="G60" s="13">
        <v>0</v>
      </c>
      <c r="H60" s="13">
        <v>0</v>
      </c>
      <c r="I60" s="13">
        <v>0</v>
      </c>
      <c r="J60" s="13">
        <v>0</v>
      </c>
      <c r="K60" s="13">
        <v>0</v>
      </c>
      <c r="L60" s="13">
        <v>0</v>
      </c>
    </row>
    <row r="61" spans="1:26" x14ac:dyDescent="0.3">
      <c r="A61" s="11" t="s">
        <v>19</v>
      </c>
      <c r="B61" s="12">
        <v>0</v>
      </c>
      <c r="C61" s="12">
        <v>0</v>
      </c>
      <c r="D61" s="13">
        <v>0</v>
      </c>
      <c r="E61" s="13">
        <v>0</v>
      </c>
      <c r="F61" s="13">
        <v>0</v>
      </c>
      <c r="G61" s="13">
        <v>0</v>
      </c>
      <c r="H61" s="13">
        <v>0</v>
      </c>
      <c r="I61" s="13">
        <v>0</v>
      </c>
      <c r="J61" s="13">
        <v>0</v>
      </c>
      <c r="K61" s="13">
        <v>0</v>
      </c>
      <c r="L61" s="13">
        <v>0</v>
      </c>
    </row>
    <row r="62" spans="1:26" x14ac:dyDescent="0.3">
      <c r="A62" s="11" t="s">
        <v>20</v>
      </c>
      <c r="B62" s="12">
        <v>39.979999999999997</v>
      </c>
      <c r="C62" s="12">
        <v>217.72</v>
      </c>
      <c r="D62" s="13">
        <v>177.74</v>
      </c>
      <c r="E62" s="13">
        <v>5245.16</v>
      </c>
      <c r="F62" s="13">
        <v>5205.18</v>
      </c>
      <c r="G62" s="13">
        <v>5245.16</v>
      </c>
      <c r="H62" s="13">
        <v>5205.18</v>
      </c>
      <c r="I62" s="13">
        <v>5245.16</v>
      </c>
      <c r="J62" s="13">
        <v>5205.18</v>
      </c>
      <c r="K62" s="13">
        <v>5245.16</v>
      </c>
      <c r="L62" s="13">
        <v>5205.18</v>
      </c>
    </row>
    <row r="63" spans="1:26" x14ac:dyDescent="0.3">
      <c r="A63" s="11" t="s">
        <v>38</v>
      </c>
      <c r="B63" s="12">
        <v>368.76</v>
      </c>
      <c r="C63" s="12">
        <v>1201.3699999999999</v>
      </c>
      <c r="D63" s="13">
        <v>832.6099999999999</v>
      </c>
      <c r="E63" s="13">
        <v>2154.1999999999998</v>
      </c>
      <c r="F63" s="13">
        <v>1785.4399999999998</v>
      </c>
      <c r="G63" s="13">
        <v>2154.1999999999998</v>
      </c>
      <c r="H63" s="13">
        <v>1785.4399999999998</v>
      </c>
      <c r="I63" s="13">
        <v>2154.1999999999998</v>
      </c>
      <c r="J63" s="13">
        <v>1785.4399999999998</v>
      </c>
      <c r="K63" s="13">
        <v>2154.1999999999998</v>
      </c>
      <c r="L63" s="13">
        <v>1785.4399999999998</v>
      </c>
    </row>
    <row r="64" spans="1:26" x14ac:dyDescent="0.3">
      <c r="A64" s="11" t="s">
        <v>22</v>
      </c>
      <c r="B64" s="12">
        <v>26.25</v>
      </c>
      <c r="C64" s="12">
        <v>179.47</v>
      </c>
      <c r="D64" s="13">
        <v>153.22</v>
      </c>
      <c r="E64" s="13">
        <v>524.53</v>
      </c>
      <c r="F64" s="13">
        <v>498.28</v>
      </c>
      <c r="G64" s="13">
        <v>347.24</v>
      </c>
      <c r="H64" s="13">
        <v>320.99</v>
      </c>
      <c r="I64" s="13">
        <v>328.36</v>
      </c>
      <c r="J64" s="13">
        <v>302.11</v>
      </c>
      <c r="K64" s="13">
        <v>814.38</v>
      </c>
      <c r="L64" s="13">
        <v>788.13</v>
      </c>
    </row>
    <row r="65" spans="1:12" x14ac:dyDescent="0.3">
      <c r="A65" s="11" t="s">
        <v>23</v>
      </c>
      <c r="B65" s="12">
        <v>1167.0999999999999</v>
      </c>
      <c r="C65" s="12">
        <v>1167.0999999999999</v>
      </c>
      <c r="D65" s="13">
        <v>0</v>
      </c>
      <c r="E65" s="13">
        <v>1167.0999999999999</v>
      </c>
      <c r="F65" s="13">
        <v>0</v>
      </c>
      <c r="G65" s="13">
        <v>1167.0999999999999</v>
      </c>
      <c r="H65" s="13">
        <v>0</v>
      </c>
      <c r="I65" s="13">
        <v>1167.0999999999999</v>
      </c>
      <c r="J65" s="13">
        <v>0</v>
      </c>
      <c r="K65" s="13">
        <v>1167.0999999999999</v>
      </c>
      <c r="L65" s="13">
        <v>0</v>
      </c>
    </row>
    <row r="66" spans="1:12" x14ac:dyDescent="0.3">
      <c r="A66" s="11" t="s">
        <v>24</v>
      </c>
      <c r="B66" s="12">
        <v>0</v>
      </c>
      <c r="C66" s="12">
        <v>0</v>
      </c>
      <c r="D66" s="13">
        <v>0</v>
      </c>
      <c r="E66" s="13">
        <v>0</v>
      </c>
      <c r="F66" s="13">
        <v>0</v>
      </c>
      <c r="G66" s="13">
        <v>0</v>
      </c>
      <c r="H66" s="13">
        <v>0</v>
      </c>
      <c r="I66" s="13">
        <v>0</v>
      </c>
      <c r="J66" s="13">
        <v>0</v>
      </c>
      <c r="K66" s="13">
        <v>0</v>
      </c>
      <c r="L66" s="13">
        <v>0</v>
      </c>
    </row>
    <row r="67" spans="1:12" x14ac:dyDescent="0.3">
      <c r="A67" s="11" t="s">
        <v>25</v>
      </c>
      <c r="B67" s="12">
        <v>0</v>
      </c>
      <c r="C67" s="12">
        <v>0</v>
      </c>
      <c r="D67" s="13">
        <v>0</v>
      </c>
      <c r="E67" s="13">
        <v>0</v>
      </c>
      <c r="F67" s="13">
        <v>0</v>
      </c>
      <c r="G67" s="13">
        <v>0</v>
      </c>
      <c r="H67" s="13">
        <v>0</v>
      </c>
      <c r="I67" s="13">
        <v>0</v>
      </c>
      <c r="J67" s="13">
        <v>0</v>
      </c>
      <c r="K67" s="13">
        <v>0</v>
      </c>
      <c r="L67" s="13">
        <v>0</v>
      </c>
    </row>
    <row r="68" spans="1:12" x14ac:dyDescent="0.3">
      <c r="A68" s="11" t="s">
        <v>26</v>
      </c>
      <c r="B68" s="12">
        <v>282.8</v>
      </c>
      <c r="C68" s="12">
        <v>453.29</v>
      </c>
      <c r="D68" s="13">
        <v>170.49</v>
      </c>
      <c r="E68" s="13">
        <v>453.3</v>
      </c>
      <c r="F68" s="13">
        <v>170.5</v>
      </c>
      <c r="G68" s="13">
        <v>453.3</v>
      </c>
      <c r="H68" s="13">
        <v>170.5</v>
      </c>
      <c r="I68" s="13">
        <v>453.3</v>
      </c>
      <c r="J68" s="13">
        <v>170.5</v>
      </c>
      <c r="K68" s="13">
        <v>453.3</v>
      </c>
      <c r="L68" s="13">
        <v>170.5</v>
      </c>
    </row>
    <row r="69" spans="1:12" x14ac:dyDescent="0.3">
      <c r="A69" s="11" t="s">
        <v>27</v>
      </c>
      <c r="B69" s="12">
        <v>0</v>
      </c>
      <c r="C69" s="12">
        <v>0</v>
      </c>
      <c r="D69" s="13">
        <v>0</v>
      </c>
      <c r="E69" s="13">
        <v>0</v>
      </c>
      <c r="F69" s="13">
        <v>0</v>
      </c>
      <c r="G69" s="13">
        <v>0</v>
      </c>
      <c r="H69" s="13">
        <v>0</v>
      </c>
      <c r="I69" s="13">
        <v>0</v>
      </c>
      <c r="J69" s="13">
        <v>0</v>
      </c>
      <c r="K69" s="13">
        <v>0</v>
      </c>
      <c r="L69" s="13">
        <v>0</v>
      </c>
    </row>
    <row r="70" spans="1:12" x14ac:dyDescent="0.3">
      <c r="A70" s="11" t="s">
        <v>28</v>
      </c>
      <c r="B70" s="12">
        <v>3014.6</v>
      </c>
      <c r="C70" s="12">
        <v>3014.59</v>
      </c>
      <c r="D70" s="13">
        <v>-9.9999999997635314E-3</v>
      </c>
      <c r="E70" s="13">
        <v>0</v>
      </c>
      <c r="F70" s="13">
        <v>-3014.6</v>
      </c>
      <c r="G70" s="13">
        <v>0</v>
      </c>
      <c r="H70" s="13">
        <v>-3014.6</v>
      </c>
      <c r="I70" s="13">
        <v>0</v>
      </c>
      <c r="J70" s="13">
        <v>-3014.6</v>
      </c>
      <c r="K70" s="13">
        <v>0</v>
      </c>
      <c r="L70" s="13">
        <v>-3014.6</v>
      </c>
    </row>
    <row r="71" spans="1:12" x14ac:dyDescent="0.3">
      <c r="A71" s="11" t="s">
        <v>29</v>
      </c>
      <c r="B71" s="12">
        <v>0</v>
      </c>
      <c r="C71" s="12">
        <v>0</v>
      </c>
      <c r="D71" s="13">
        <v>0</v>
      </c>
      <c r="E71" s="13">
        <v>4294.54</v>
      </c>
      <c r="F71" s="13">
        <v>4294.54</v>
      </c>
      <c r="G71" s="13">
        <v>3153.58</v>
      </c>
      <c r="H71" s="13">
        <v>3153.58</v>
      </c>
      <c r="I71" s="13">
        <v>4508.21</v>
      </c>
      <c r="J71" s="13">
        <v>4508.21</v>
      </c>
      <c r="K71" s="13">
        <v>3902.2</v>
      </c>
      <c r="L71" s="13">
        <v>3902.2</v>
      </c>
    </row>
    <row r="72" spans="1:12" x14ac:dyDescent="0.3">
      <c r="A72" s="11" t="s">
        <v>31</v>
      </c>
      <c r="B72" s="12">
        <v>22.7</v>
      </c>
      <c r="C72" s="12">
        <v>22.7</v>
      </c>
      <c r="D72" s="13">
        <v>0</v>
      </c>
      <c r="E72" s="13">
        <v>22.7</v>
      </c>
      <c r="F72" s="13">
        <v>0</v>
      </c>
      <c r="G72" s="13">
        <v>22.7</v>
      </c>
      <c r="H72" s="13">
        <v>0</v>
      </c>
      <c r="I72" s="13">
        <v>22.7</v>
      </c>
      <c r="J72" s="13">
        <v>0</v>
      </c>
      <c r="K72" s="13">
        <v>22.7</v>
      </c>
      <c r="L72" s="13">
        <v>0</v>
      </c>
    </row>
    <row r="73" spans="1:12" x14ac:dyDescent="0.3">
      <c r="A73" s="3"/>
      <c r="B73" s="18"/>
      <c r="C73" s="3"/>
    </row>
    <row r="74" spans="1:12" x14ac:dyDescent="0.3">
      <c r="A74" s="113" t="s">
        <v>40</v>
      </c>
      <c r="B74" s="113"/>
      <c r="C74" s="113"/>
      <c r="D74" s="113"/>
      <c r="E74" s="113"/>
      <c r="F74" s="113"/>
      <c r="G74" s="113"/>
      <c r="H74" s="113"/>
      <c r="I74" s="113"/>
      <c r="J74" s="113"/>
      <c r="K74" s="113"/>
      <c r="L74" s="113"/>
    </row>
    <row r="75" spans="1:12" x14ac:dyDescent="0.3">
      <c r="A75" s="11" t="s">
        <v>17</v>
      </c>
      <c r="B75" s="12">
        <v>0</v>
      </c>
      <c r="C75" s="12">
        <v>0</v>
      </c>
      <c r="D75" s="13">
        <v>0</v>
      </c>
      <c r="E75" s="13">
        <v>489.03999999999996</v>
      </c>
      <c r="F75" s="13">
        <v>489.03999999999996</v>
      </c>
      <c r="G75" s="13">
        <v>489.03999999999996</v>
      </c>
      <c r="H75" s="13">
        <v>489.03999999999996</v>
      </c>
      <c r="I75" s="13">
        <v>489.03999999999996</v>
      </c>
      <c r="J75" s="13">
        <v>489.03999999999996</v>
      </c>
      <c r="K75" s="13">
        <v>489.03999999999996</v>
      </c>
      <c r="L75" s="13">
        <v>489.03999999999996</v>
      </c>
    </row>
    <row r="76" spans="1:12" x14ac:dyDescent="0.3">
      <c r="A76" s="11" t="s">
        <v>18</v>
      </c>
      <c r="B76" s="12">
        <v>0</v>
      </c>
      <c r="C76" s="12">
        <v>0</v>
      </c>
      <c r="D76" s="13">
        <v>0</v>
      </c>
      <c r="E76" s="13">
        <v>0</v>
      </c>
      <c r="F76" s="13">
        <v>0</v>
      </c>
      <c r="G76" s="13">
        <v>0</v>
      </c>
      <c r="H76" s="13">
        <v>0</v>
      </c>
      <c r="I76" s="13">
        <v>0</v>
      </c>
      <c r="J76" s="13">
        <v>0</v>
      </c>
      <c r="K76" s="13">
        <v>0</v>
      </c>
      <c r="L76" s="13">
        <v>0</v>
      </c>
    </row>
    <row r="77" spans="1:12" x14ac:dyDescent="0.3">
      <c r="A77" s="11" t="s">
        <v>19</v>
      </c>
      <c r="B77" s="12">
        <v>0</v>
      </c>
      <c r="C77" s="12">
        <v>0</v>
      </c>
      <c r="D77" s="13">
        <v>0</v>
      </c>
      <c r="E77" s="13">
        <v>0</v>
      </c>
      <c r="F77" s="13">
        <v>0</v>
      </c>
      <c r="G77" s="13">
        <v>0</v>
      </c>
      <c r="H77" s="13">
        <v>0</v>
      </c>
      <c r="I77" s="13">
        <v>0</v>
      </c>
      <c r="J77" s="13">
        <v>0</v>
      </c>
      <c r="K77" s="13">
        <v>0</v>
      </c>
      <c r="L77" s="13">
        <v>0</v>
      </c>
    </row>
    <row r="78" spans="1:12" x14ac:dyDescent="0.3">
      <c r="A78" s="11" t="s">
        <v>20</v>
      </c>
      <c r="B78" s="12">
        <v>24.98</v>
      </c>
      <c r="C78" s="12">
        <v>259.85000000000002</v>
      </c>
      <c r="D78" s="13">
        <v>234.87000000000003</v>
      </c>
      <c r="E78" s="13">
        <v>558.66000000000008</v>
      </c>
      <c r="F78" s="13">
        <v>533.68000000000006</v>
      </c>
      <c r="G78" s="13">
        <v>558.66000000000008</v>
      </c>
      <c r="H78" s="13">
        <v>533.68000000000006</v>
      </c>
      <c r="I78" s="13">
        <v>558.66000000000008</v>
      </c>
      <c r="J78" s="13">
        <v>533.68000000000006</v>
      </c>
      <c r="K78" s="13">
        <v>558.66000000000008</v>
      </c>
      <c r="L78" s="13">
        <v>533.68000000000006</v>
      </c>
    </row>
    <row r="79" spans="1:12" x14ac:dyDescent="0.3">
      <c r="A79" s="11" t="s">
        <v>38</v>
      </c>
      <c r="B79" s="12">
        <v>363.37</v>
      </c>
      <c r="C79" s="12">
        <v>1074.8599999999999</v>
      </c>
      <c r="D79" s="13">
        <v>711.4899999999999</v>
      </c>
      <c r="E79" s="13">
        <v>2770.8599999999997</v>
      </c>
      <c r="F79" s="13">
        <v>2407.4899999999998</v>
      </c>
      <c r="G79" s="13">
        <v>2770.8599999999997</v>
      </c>
      <c r="H79" s="13">
        <v>2407.4899999999998</v>
      </c>
      <c r="I79" s="13">
        <v>2770.8599999999997</v>
      </c>
      <c r="J79" s="13">
        <v>2407.4899999999998</v>
      </c>
      <c r="K79" s="13">
        <v>2770.8599999999997</v>
      </c>
      <c r="L79" s="13">
        <v>2407.4899999999998</v>
      </c>
    </row>
    <row r="80" spans="1:12" x14ac:dyDescent="0.3">
      <c r="A80" s="11" t="s">
        <v>22</v>
      </c>
      <c r="B80" s="12">
        <v>87.29</v>
      </c>
      <c r="C80" s="12">
        <v>349.19</v>
      </c>
      <c r="D80" s="13">
        <v>261.89999999999998</v>
      </c>
      <c r="E80" s="13">
        <v>349.17</v>
      </c>
      <c r="F80" s="13">
        <v>261.88</v>
      </c>
      <c r="G80" s="13">
        <v>349.19</v>
      </c>
      <c r="H80" s="13">
        <v>261.89999999999998</v>
      </c>
      <c r="I80" s="13">
        <v>349.18</v>
      </c>
      <c r="J80" s="13">
        <v>261.89</v>
      </c>
      <c r="K80" s="13">
        <v>349.17</v>
      </c>
      <c r="L80" s="13">
        <v>261.88</v>
      </c>
    </row>
    <row r="81" spans="1:12" x14ac:dyDescent="0.3">
      <c r="A81" s="11" t="s">
        <v>23</v>
      </c>
      <c r="B81" s="12">
        <v>0</v>
      </c>
      <c r="C81" s="12">
        <v>0</v>
      </c>
      <c r="D81" s="13">
        <v>0</v>
      </c>
      <c r="E81" s="13">
        <v>0</v>
      </c>
      <c r="F81" s="13">
        <v>0</v>
      </c>
      <c r="G81" s="13">
        <v>0</v>
      </c>
      <c r="H81" s="13">
        <v>0</v>
      </c>
      <c r="I81" s="13">
        <v>0</v>
      </c>
      <c r="J81" s="13">
        <v>0</v>
      </c>
      <c r="K81" s="13">
        <v>0</v>
      </c>
      <c r="L81" s="13">
        <v>0</v>
      </c>
    </row>
    <row r="82" spans="1:12" x14ac:dyDescent="0.3">
      <c r="A82" s="11" t="s">
        <v>24</v>
      </c>
      <c r="B82" s="12">
        <v>0</v>
      </c>
      <c r="C82" s="12">
        <v>0</v>
      </c>
      <c r="D82" s="13">
        <v>0</v>
      </c>
      <c r="E82" s="13">
        <v>0</v>
      </c>
      <c r="F82" s="13">
        <v>0</v>
      </c>
      <c r="G82" s="13">
        <v>0</v>
      </c>
      <c r="H82" s="13">
        <v>0</v>
      </c>
      <c r="I82" s="13">
        <v>0</v>
      </c>
      <c r="J82" s="13">
        <v>0</v>
      </c>
      <c r="K82" s="13">
        <v>0</v>
      </c>
      <c r="L82" s="13">
        <v>0</v>
      </c>
    </row>
    <row r="83" spans="1:12" x14ac:dyDescent="0.3">
      <c r="A83" s="11" t="s">
        <v>25</v>
      </c>
      <c r="B83" s="12">
        <v>0</v>
      </c>
      <c r="C83" s="12">
        <v>0</v>
      </c>
      <c r="D83" s="13">
        <v>0</v>
      </c>
      <c r="E83" s="13">
        <v>0</v>
      </c>
      <c r="F83" s="13">
        <v>0</v>
      </c>
      <c r="G83" s="13">
        <v>0</v>
      </c>
      <c r="H83" s="13">
        <v>0</v>
      </c>
      <c r="I83" s="13">
        <v>0</v>
      </c>
      <c r="J83" s="13">
        <v>0</v>
      </c>
      <c r="K83" s="13">
        <v>0</v>
      </c>
      <c r="L83" s="13">
        <v>0</v>
      </c>
    </row>
    <row r="84" spans="1:12" x14ac:dyDescent="0.3">
      <c r="A84" s="11" t="s">
        <v>26</v>
      </c>
      <c r="B84" s="12">
        <v>78.599999999999994</v>
      </c>
      <c r="C84" s="12">
        <v>78.599999999999994</v>
      </c>
      <c r="D84" s="13">
        <v>0</v>
      </c>
      <c r="E84" s="13">
        <v>81.929999999999993</v>
      </c>
      <c r="F84" s="13">
        <v>3.3299999999999983</v>
      </c>
      <c r="G84" s="13">
        <v>81.929999999999993</v>
      </c>
      <c r="H84" s="13">
        <v>3.3299999999999983</v>
      </c>
      <c r="I84" s="13">
        <v>81.929999999999993</v>
      </c>
      <c r="J84" s="13">
        <v>3.3299999999999983</v>
      </c>
      <c r="K84" s="13">
        <v>81.929999999999993</v>
      </c>
      <c r="L84" s="13">
        <v>3.3299999999999983</v>
      </c>
    </row>
    <row r="85" spans="1:12" x14ac:dyDescent="0.3">
      <c r="A85" s="11" t="s">
        <v>27</v>
      </c>
      <c r="B85" s="12">
        <v>1505</v>
      </c>
      <c r="C85" s="12">
        <v>0</v>
      </c>
      <c r="D85" s="13">
        <v>-1505</v>
      </c>
      <c r="E85" s="13">
        <v>0</v>
      </c>
      <c r="F85" s="13">
        <v>-1505</v>
      </c>
      <c r="G85" s="13">
        <v>0</v>
      </c>
      <c r="H85" s="13">
        <v>-1505</v>
      </c>
      <c r="I85" s="13">
        <v>0</v>
      </c>
      <c r="J85" s="13">
        <v>-1505</v>
      </c>
      <c r="K85" s="13">
        <v>0</v>
      </c>
      <c r="L85" s="13">
        <v>-1505</v>
      </c>
    </row>
    <row r="86" spans="1:12" x14ac:dyDescent="0.3">
      <c r="A86" s="11" t="s">
        <v>28</v>
      </c>
      <c r="B86" s="12">
        <v>4624.5</v>
      </c>
      <c r="C86" s="12">
        <v>2789.15</v>
      </c>
      <c r="D86" s="13">
        <v>-1835.35</v>
      </c>
      <c r="E86" s="13">
        <v>0</v>
      </c>
      <c r="F86" s="13">
        <v>-4624.5</v>
      </c>
      <c r="G86" s="13">
        <v>0</v>
      </c>
      <c r="H86" s="13">
        <v>-4624.5</v>
      </c>
      <c r="I86" s="13">
        <v>0</v>
      </c>
      <c r="J86" s="13">
        <v>-4624.5</v>
      </c>
      <c r="K86" s="13">
        <v>0</v>
      </c>
      <c r="L86" s="13">
        <v>-4624.5</v>
      </c>
    </row>
    <row r="87" spans="1:12" x14ac:dyDescent="0.3">
      <c r="A87" s="11" t="s">
        <v>29</v>
      </c>
      <c r="B87" s="12">
        <v>0</v>
      </c>
      <c r="C87" s="12">
        <v>0</v>
      </c>
      <c r="D87" s="13">
        <v>0</v>
      </c>
      <c r="E87" s="13">
        <v>4531.93</v>
      </c>
      <c r="F87" s="13">
        <v>4531.93</v>
      </c>
      <c r="G87" s="13">
        <v>4856.5599999999995</v>
      </c>
      <c r="H87" s="13">
        <v>4856.5599999999995</v>
      </c>
      <c r="I87" s="13">
        <v>4724.8999999999996</v>
      </c>
      <c r="J87" s="13">
        <v>4724.8999999999996</v>
      </c>
      <c r="K87" s="13">
        <v>5477.15</v>
      </c>
      <c r="L87" s="13">
        <v>5477.15</v>
      </c>
    </row>
    <row r="88" spans="1:12" x14ac:dyDescent="0.3">
      <c r="A88" s="11" t="s">
        <v>31</v>
      </c>
      <c r="B88" s="12">
        <v>60.2</v>
      </c>
      <c r="C88" s="12">
        <v>60.2</v>
      </c>
      <c r="D88" s="13">
        <v>0</v>
      </c>
      <c r="E88" s="13">
        <v>60.2</v>
      </c>
      <c r="F88" s="13">
        <v>0</v>
      </c>
      <c r="G88" s="13">
        <v>60.2</v>
      </c>
      <c r="H88" s="13">
        <v>0</v>
      </c>
      <c r="I88" s="13">
        <v>60.2</v>
      </c>
      <c r="J88" s="13">
        <v>0</v>
      </c>
      <c r="K88" s="13">
        <v>60.2</v>
      </c>
      <c r="L88" s="13">
        <v>0</v>
      </c>
    </row>
    <row r="89" spans="1:12" x14ac:dyDescent="0.3">
      <c r="A89" s="17"/>
      <c r="B89" s="17"/>
      <c r="C89" s="17"/>
    </row>
    <row r="90" spans="1:12" x14ac:dyDescent="0.3">
      <c r="A90" s="113" t="s">
        <v>41</v>
      </c>
      <c r="B90" s="113"/>
      <c r="C90" s="113"/>
      <c r="D90" s="113"/>
      <c r="E90" s="113"/>
      <c r="F90" s="113"/>
      <c r="G90" s="113"/>
      <c r="H90" s="113"/>
      <c r="I90" s="113"/>
      <c r="J90" s="113"/>
      <c r="K90" s="113"/>
      <c r="L90" s="113"/>
    </row>
    <row r="91" spans="1:12" x14ac:dyDescent="0.3">
      <c r="A91" s="11" t="s">
        <v>17</v>
      </c>
      <c r="B91" s="12">
        <v>0</v>
      </c>
      <c r="C91" s="12">
        <v>0</v>
      </c>
      <c r="D91" s="13">
        <v>0</v>
      </c>
      <c r="E91" s="13">
        <v>0</v>
      </c>
      <c r="F91" s="13">
        <v>0</v>
      </c>
      <c r="G91" s="13">
        <v>0</v>
      </c>
      <c r="H91" s="13">
        <v>0</v>
      </c>
      <c r="I91" s="13">
        <v>0</v>
      </c>
      <c r="J91" s="13">
        <v>0</v>
      </c>
      <c r="K91" s="13">
        <v>0</v>
      </c>
      <c r="L91" s="13">
        <v>0</v>
      </c>
    </row>
    <row r="92" spans="1:12" x14ac:dyDescent="0.3">
      <c r="A92" s="11" t="s">
        <v>18</v>
      </c>
      <c r="B92" s="12">
        <v>0</v>
      </c>
      <c r="C92" s="12">
        <v>0</v>
      </c>
      <c r="D92" s="13">
        <v>0</v>
      </c>
      <c r="E92" s="13">
        <v>0</v>
      </c>
      <c r="F92" s="13">
        <v>0</v>
      </c>
      <c r="G92" s="13">
        <v>0</v>
      </c>
      <c r="H92" s="13">
        <v>0</v>
      </c>
      <c r="I92" s="13">
        <v>0</v>
      </c>
      <c r="J92" s="13">
        <v>0</v>
      </c>
      <c r="K92" s="13">
        <v>0</v>
      </c>
      <c r="L92" s="13">
        <v>0</v>
      </c>
    </row>
    <row r="93" spans="1:12" x14ac:dyDescent="0.3">
      <c r="A93" s="11" t="s">
        <v>19</v>
      </c>
      <c r="B93" s="12">
        <v>0</v>
      </c>
      <c r="C93" s="12">
        <v>6000</v>
      </c>
      <c r="D93" s="13">
        <v>6000</v>
      </c>
      <c r="E93" s="13">
        <v>9156.41</v>
      </c>
      <c r="F93" s="13">
        <v>9156.41</v>
      </c>
      <c r="G93" s="13">
        <v>9268.44</v>
      </c>
      <c r="H93" s="13">
        <v>9268.44</v>
      </c>
      <c r="I93" s="13">
        <v>10964.23</v>
      </c>
      <c r="J93" s="13">
        <v>10964.23</v>
      </c>
      <c r="K93" s="13">
        <v>10031.959999999999</v>
      </c>
      <c r="L93" s="13">
        <v>10031.959999999999</v>
      </c>
    </row>
    <row r="94" spans="1:12" x14ac:dyDescent="0.3">
      <c r="A94" s="11" t="s">
        <v>20</v>
      </c>
      <c r="B94" s="12">
        <v>0</v>
      </c>
      <c r="C94" s="12">
        <v>0</v>
      </c>
      <c r="D94" s="13">
        <v>0</v>
      </c>
      <c r="E94" s="13">
        <v>0</v>
      </c>
      <c r="F94" s="13">
        <v>0</v>
      </c>
      <c r="G94" s="13">
        <v>0</v>
      </c>
      <c r="H94" s="13">
        <v>0</v>
      </c>
      <c r="I94" s="13">
        <v>0</v>
      </c>
      <c r="J94" s="13">
        <v>0</v>
      </c>
      <c r="K94" s="13">
        <v>0</v>
      </c>
      <c r="L94" s="13">
        <v>0</v>
      </c>
    </row>
    <row r="95" spans="1:12" x14ac:dyDescent="0.3">
      <c r="A95" s="11" t="s">
        <v>38</v>
      </c>
      <c r="B95" s="12">
        <v>235.97</v>
      </c>
      <c r="C95" s="12">
        <v>649.58000000000004</v>
      </c>
      <c r="D95" s="13">
        <v>413.61</v>
      </c>
      <c r="E95" s="13">
        <v>1675.63</v>
      </c>
      <c r="F95" s="13">
        <v>1439.66</v>
      </c>
      <c r="G95" s="13">
        <v>1675.63</v>
      </c>
      <c r="H95" s="13">
        <v>1439.66</v>
      </c>
      <c r="I95" s="13">
        <v>1675.63</v>
      </c>
      <c r="J95" s="13">
        <v>1439.66</v>
      </c>
      <c r="K95" s="13">
        <v>1675.63</v>
      </c>
      <c r="L95" s="13">
        <v>1439.66</v>
      </c>
    </row>
    <row r="96" spans="1:12" x14ac:dyDescent="0.3">
      <c r="A96" s="11" t="s">
        <v>22</v>
      </c>
      <c r="B96" s="12">
        <v>321.45999999999998</v>
      </c>
      <c r="C96" s="12">
        <v>2426.39</v>
      </c>
      <c r="D96" s="13">
        <v>2104.9299999999998</v>
      </c>
      <c r="E96" s="13">
        <v>2154.5100000000002</v>
      </c>
      <c r="F96" s="13">
        <v>1833.0500000000002</v>
      </c>
      <c r="G96" s="13">
        <v>2113.6</v>
      </c>
      <c r="H96" s="13">
        <v>1792.1399999999999</v>
      </c>
      <c r="I96" s="13">
        <v>3189.23</v>
      </c>
      <c r="J96" s="13">
        <v>2867.77</v>
      </c>
      <c r="K96" s="13">
        <v>2473.84</v>
      </c>
      <c r="L96" s="13">
        <v>2152.38</v>
      </c>
    </row>
    <row r="97" spans="1:12" x14ac:dyDescent="0.3">
      <c r="A97" s="11" t="s">
        <v>23</v>
      </c>
      <c r="B97" s="12">
        <v>0</v>
      </c>
      <c r="C97" s="12">
        <v>0</v>
      </c>
      <c r="D97" s="13">
        <v>0</v>
      </c>
      <c r="E97" s="13">
        <v>0</v>
      </c>
      <c r="F97" s="13">
        <v>0</v>
      </c>
      <c r="G97" s="13">
        <v>0</v>
      </c>
      <c r="H97" s="13">
        <v>0</v>
      </c>
      <c r="I97" s="13">
        <v>0</v>
      </c>
      <c r="J97" s="13">
        <v>0</v>
      </c>
      <c r="K97" s="13">
        <v>0</v>
      </c>
      <c r="L97" s="13">
        <v>0</v>
      </c>
    </row>
    <row r="98" spans="1:12" x14ac:dyDescent="0.3">
      <c r="A98" s="11" t="s">
        <v>24</v>
      </c>
      <c r="B98" s="12">
        <v>0</v>
      </c>
      <c r="C98" s="12">
        <v>1250</v>
      </c>
      <c r="D98" s="13">
        <v>1250</v>
      </c>
      <c r="E98" s="13">
        <v>2550</v>
      </c>
      <c r="F98" s="13">
        <v>2550</v>
      </c>
      <c r="G98" s="13">
        <v>2550</v>
      </c>
      <c r="H98" s="13">
        <v>2550</v>
      </c>
      <c r="I98" s="13">
        <v>2550</v>
      </c>
      <c r="J98" s="13">
        <v>2550</v>
      </c>
      <c r="K98" s="13">
        <v>2550</v>
      </c>
      <c r="L98" s="13">
        <v>2550</v>
      </c>
    </row>
    <row r="99" spans="1:12" x14ac:dyDescent="0.3">
      <c r="A99" s="11" t="s">
        <v>25</v>
      </c>
      <c r="B99" s="12">
        <v>0</v>
      </c>
      <c r="C99" s="12">
        <v>0</v>
      </c>
      <c r="D99" s="13">
        <v>0</v>
      </c>
      <c r="E99" s="13">
        <v>0</v>
      </c>
      <c r="F99" s="13">
        <v>0</v>
      </c>
      <c r="G99" s="13">
        <v>0</v>
      </c>
      <c r="H99" s="13">
        <v>0</v>
      </c>
      <c r="I99" s="13">
        <v>0</v>
      </c>
      <c r="J99" s="13">
        <v>0</v>
      </c>
      <c r="K99" s="13">
        <v>0</v>
      </c>
      <c r="L99" s="13">
        <v>0</v>
      </c>
    </row>
    <row r="100" spans="1:12" x14ac:dyDescent="0.3">
      <c r="A100" s="11" t="s">
        <v>26</v>
      </c>
      <c r="B100" s="12">
        <v>3.33</v>
      </c>
      <c r="C100" s="12">
        <v>3.33</v>
      </c>
      <c r="D100" s="13">
        <v>0</v>
      </c>
      <c r="E100" s="13">
        <v>3.33</v>
      </c>
      <c r="F100" s="13">
        <v>0</v>
      </c>
      <c r="G100" s="13">
        <v>3.33</v>
      </c>
      <c r="H100" s="13">
        <v>0</v>
      </c>
      <c r="I100" s="13">
        <v>3.33</v>
      </c>
      <c r="J100" s="13">
        <v>0</v>
      </c>
      <c r="K100" s="13">
        <v>3.33</v>
      </c>
      <c r="L100" s="13">
        <v>0</v>
      </c>
    </row>
    <row r="101" spans="1:12" x14ac:dyDescent="0.3">
      <c r="A101" s="11" t="s">
        <v>27</v>
      </c>
      <c r="B101" s="12">
        <v>0</v>
      </c>
      <c r="C101" s="12">
        <v>0</v>
      </c>
      <c r="D101" s="13">
        <v>0</v>
      </c>
      <c r="E101" s="13">
        <v>0</v>
      </c>
      <c r="F101" s="13">
        <v>0</v>
      </c>
      <c r="G101" s="13">
        <v>0</v>
      </c>
      <c r="H101" s="13">
        <v>0</v>
      </c>
      <c r="I101" s="13">
        <v>0</v>
      </c>
      <c r="J101" s="13">
        <v>0</v>
      </c>
      <c r="K101" s="13">
        <v>0</v>
      </c>
      <c r="L101" s="13">
        <v>0</v>
      </c>
    </row>
    <row r="102" spans="1:12" x14ac:dyDescent="0.3">
      <c r="A102" s="11" t="s">
        <v>28</v>
      </c>
      <c r="B102" s="12">
        <v>9608.2000000000007</v>
      </c>
      <c r="C102" s="12">
        <v>4893.91</v>
      </c>
      <c r="D102" s="13">
        <v>-4714.2900000000009</v>
      </c>
      <c r="E102" s="13">
        <v>0</v>
      </c>
      <c r="F102" s="13">
        <v>-9608.2000000000007</v>
      </c>
      <c r="G102" s="13">
        <v>0</v>
      </c>
      <c r="H102" s="13">
        <v>-9608.2000000000007</v>
      </c>
      <c r="I102" s="13">
        <v>0</v>
      </c>
      <c r="J102" s="13">
        <v>-9608.2000000000007</v>
      </c>
      <c r="K102" s="13">
        <v>0</v>
      </c>
      <c r="L102" s="13">
        <v>-9608.2000000000007</v>
      </c>
    </row>
    <row r="103" spans="1:12" x14ac:dyDescent="0.3">
      <c r="A103" s="11" t="s">
        <v>29</v>
      </c>
      <c r="B103" s="12">
        <v>0</v>
      </c>
      <c r="C103" s="12">
        <v>0</v>
      </c>
      <c r="D103" s="13">
        <v>0</v>
      </c>
      <c r="E103" s="13">
        <v>6085.8099999999995</v>
      </c>
      <c r="F103" s="13">
        <v>6085.8099999999995</v>
      </c>
      <c r="G103" s="13">
        <v>5821.36</v>
      </c>
      <c r="H103" s="13">
        <v>5821.36</v>
      </c>
      <c r="I103" s="13">
        <v>5906.7</v>
      </c>
      <c r="J103" s="13">
        <v>5906.7</v>
      </c>
      <c r="K103" s="13">
        <v>6254.85</v>
      </c>
      <c r="L103" s="13">
        <v>6254.85</v>
      </c>
    </row>
    <row r="104" spans="1:12" x14ac:dyDescent="0.3">
      <c r="A104" s="11" t="s">
        <v>31</v>
      </c>
      <c r="B104" s="12">
        <v>0</v>
      </c>
      <c r="C104" s="12">
        <v>0</v>
      </c>
      <c r="D104" s="13">
        <v>0</v>
      </c>
      <c r="E104" s="13">
        <v>0</v>
      </c>
      <c r="F104" s="13">
        <v>0</v>
      </c>
      <c r="G104" s="13">
        <v>0</v>
      </c>
      <c r="H104" s="13">
        <v>0</v>
      </c>
      <c r="I104" s="13">
        <v>0</v>
      </c>
      <c r="J104" s="13">
        <v>0</v>
      </c>
      <c r="K104" s="13">
        <v>0</v>
      </c>
      <c r="L104" s="13">
        <v>0</v>
      </c>
    </row>
    <row r="105" spans="1:12" x14ac:dyDescent="0.3">
      <c r="A105" s="17"/>
      <c r="B105" s="17"/>
      <c r="C105" s="17"/>
    </row>
    <row r="106" spans="1:12" x14ac:dyDescent="0.3">
      <c r="A106" s="113" t="s">
        <v>42</v>
      </c>
      <c r="B106" s="113"/>
      <c r="C106" s="113"/>
      <c r="D106" s="113"/>
      <c r="E106" s="113"/>
      <c r="F106" s="113"/>
      <c r="G106" s="113"/>
      <c r="H106" s="113"/>
      <c r="I106" s="113"/>
      <c r="J106" s="113"/>
      <c r="K106" s="113"/>
      <c r="L106" s="113"/>
    </row>
    <row r="107" spans="1:12" x14ac:dyDescent="0.3">
      <c r="A107" s="11" t="s">
        <v>17</v>
      </c>
      <c r="B107" s="12">
        <v>0</v>
      </c>
      <c r="C107" s="12">
        <v>0</v>
      </c>
      <c r="D107" s="13">
        <v>0</v>
      </c>
      <c r="E107" s="13">
        <v>0</v>
      </c>
      <c r="F107" s="13">
        <v>0</v>
      </c>
      <c r="G107" s="13">
        <v>0</v>
      </c>
      <c r="H107" s="13">
        <v>0</v>
      </c>
      <c r="I107" s="13">
        <v>27.28</v>
      </c>
      <c r="J107" s="13">
        <v>27.28</v>
      </c>
      <c r="K107" s="13">
        <v>27.28</v>
      </c>
      <c r="L107" s="13">
        <v>27.28</v>
      </c>
    </row>
    <row r="108" spans="1:12" x14ac:dyDescent="0.3">
      <c r="A108" s="11" t="s">
        <v>18</v>
      </c>
      <c r="B108" s="12">
        <v>0</v>
      </c>
      <c r="C108" s="12">
        <v>0</v>
      </c>
      <c r="D108" s="13">
        <v>0</v>
      </c>
      <c r="E108" s="13">
        <v>0</v>
      </c>
      <c r="F108" s="13">
        <v>0</v>
      </c>
      <c r="G108" s="13">
        <v>0</v>
      </c>
      <c r="H108" s="13">
        <v>0</v>
      </c>
      <c r="I108" s="13">
        <v>0</v>
      </c>
      <c r="J108" s="13">
        <v>0</v>
      </c>
      <c r="K108" s="13">
        <v>0</v>
      </c>
      <c r="L108" s="13">
        <v>0</v>
      </c>
    </row>
    <row r="109" spans="1:12" x14ac:dyDescent="0.3">
      <c r="A109" s="11" t="s">
        <v>19</v>
      </c>
      <c r="B109" s="12">
        <v>0</v>
      </c>
      <c r="C109" s="12">
        <v>3000</v>
      </c>
      <c r="D109" s="13">
        <v>3000</v>
      </c>
      <c r="E109" s="13">
        <v>5372.2199999999993</v>
      </c>
      <c r="F109" s="13">
        <v>5372.2199999999993</v>
      </c>
      <c r="G109" s="13">
        <v>5095.21</v>
      </c>
      <c r="H109" s="13">
        <v>5095.21</v>
      </c>
      <c r="I109" s="13">
        <v>5792.26</v>
      </c>
      <c r="J109" s="13">
        <v>5792.26</v>
      </c>
      <c r="K109" s="13">
        <v>5842.71</v>
      </c>
      <c r="L109" s="13">
        <v>5842.71</v>
      </c>
    </row>
    <row r="110" spans="1:12" x14ac:dyDescent="0.3">
      <c r="A110" s="11" t="s">
        <v>20</v>
      </c>
      <c r="B110" s="12">
        <v>31.5</v>
      </c>
      <c r="C110" s="12">
        <v>31.5</v>
      </c>
      <c r="D110" s="13">
        <v>0</v>
      </c>
      <c r="E110" s="13">
        <v>501.61</v>
      </c>
      <c r="F110" s="13">
        <v>470.11</v>
      </c>
      <c r="G110" s="13">
        <v>501.61</v>
      </c>
      <c r="H110" s="13">
        <v>470.11</v>
      </c>
      <c r="I110" s="13">
        <v>501.61</v>
      </c>
      <c r="J110" s="13">
        <v>470.11</v>
      </c>
      <c r="K110" s="13">
        <v>501.61</v>
      </c>
      <c r="L110" s="13">
        <v>470.11</v>
      </c>
    </row>
    <row r="111" spans="1:12" x14ac:dyDescent="0.3">
      <c r="A111" s="11" t="s">
        <v>38</v>
      </c>
      <c r="B111" s="12">
        <v>584.98</v>
      </c>
      <c r="C111" s="12">
        <v>1116.1400000000001</v>
      </c>
      <c r="D111" s="13">
        <v>531.16000000000008</v>
      </c>
      <c r="E111" s="13">
        <v>2882.62</v>
      </c>
      <c r="F111" s="13">
        <v>2297.64</v>
      </c>
      <c r="G111" s="13">
        <v>2882.62</v>
      </c>
      <c r="H111" s="13">
        <v>2297.64</v>
      </c>
      <c r="I111" s="13">
        <v>2882.62</v>
      </c>
      <c r="J111" s="13">
        <v>2297.64</v>
      </c>
      <c r="K111" s="13">
        <v>2882.62</v>
      </c>
      <c r="L111" s="13">
        <v>2297.64</v>
      </c>
    </row>
    <row r="112" spans="1:12" x14ac:dyDescent="0.3">
      <c r="A112" s="11" t="s">
        <v>22</v>
      </c>
      <c r="B112" s="12">
        <v>91.25</v>
      </c>
      <c r="C112" s="12">
        <v>833.55</v>
      </c>
      <c r="D112" s="13">
        <v>742.3</v>
      </c>
      <c r="E112" s="13">
        <v>1833.05</v>
      </c>
      <c r="F112" s="13">
        <v>1741.8</v>
      </c>
      <c r="G112" s="13">
        <v>1816.89</v>
      </c>
      <c r="H112" s="13">
        <v>1725.64</v>
      </c>
      <c r="I112" s="13">
        <v>2314.75</v>
      </c>
      <c r="J112" s="13">
        <v>2223.5</v>
      </c>
      <c r="K112" s="13">
        <v>2037.34</v>
      </c>
      <c r="L112" s="13">
        <v>1946.09</v>
      </c>
    </row>
    <row r="113" spans="1:13" x14ac:dyDescent="0.3">
      <c r="A113" s="11" t="s">
        <v>23</v>
      </c>
      <c r="B113" s="12">
        <v>0</v>
      </c>
      <c r="C113" s="12">
        <v>0</v>
      </c>
      <c r="D113" s="13">
        <v>0</v>
      </c>
      <c r="E113" s="13">
        <v>0</v>
      </c>
      <c r="F113" s="13">
        <v>0</v>
      </c>
      <c r="G113" s="13">
        <v>0</v>
      </c>
      <c r="H113" s="13">
        <v>0</v>
      </c>
      <c r="I113" s="13">
        <v>0</v>
      </c>
      <c r="J113" s="13">
        <v>0</v>
      </c>
      <c r="K113" s="13">
        <v>0</v>
      </c>
      <c r="L113" s="13">
        <v>0</v>
      </c>
    </row>
    <row r="114" spans="1:13" x14ac:dyDescent="0.3">
      <c r="A114" s="11" t="s">
        <v>24</v>
      </c>
      <c r="B114" s="12">
        <v>0</v>
      </c>
      <c r="C114" s="12">
        <v>0</v>
      </c>
      <c r="D114" s="13">
        <v>0</v>
      </c>
      <c r="E114" s="13">
        <v>0</v>
      </c>
      <c r="F114" s="13">
        <v>0</v>
      </c>
      <c r="G114" s="13">
        <v>0</v>
      </c>
      <c r="H114" s="13">
        <v>0</v>
      </c>
      <c r="I114" s="13">
        <v>0</v>
      </c>
      <c r="J114" s="13">
        <v>0</v>
      </c>
      <c r="K114" s="13">
        <v>0</v>
      </c>
      <c r="L114" s="13">
        <v>0</v>
      </c>
    </row>
    <row r="115" spans="1:13" x14ac:dyDescent="0.3">
      <c r="A115" s="11" t="s">
        <v>25</v>
      </c>
      <c r="B115" s="12">
        <v>0</v>
      </c>
      <c r="C115" s="12">
        <v>0</v>
      </c>
      <c r="D115" s="13">
        <v>0</v>
      </c>
      <c r="E115" s="13">
        <v>0</v>
      </c>
      <c r="F115" s="13">
        <v>0</v>
      </c>
      <c r="G115" s="13">
        <v>0</v>
      </c>
      <c r="H115" s="13">
        <v>0</v>
      </c>
      <c r="I115" s="13">
        <v>0</v>
      </c>
      <c r="J115" s="13">
        <v>0</v>
      </c>
      <c r="K115" s="13">
        <v>0</v>
      </c>
      <c r="L115" s="13">
        <v>0</v>
      </c>
    </row>
    <row r="116" spans="1:13" x14ac:dyDescent="0.3">
      <c r="A116" s="11" t="s">
        <v>26</v>
      </c>
      <c r="B116" s="12">
        <v>3.33</v>
      </c>
      <c r="C116" s="12">
        <v>3.33</v>
      </c>
      <c r="D116" s="13">
        <v>0</v>
      </c>
      <c r="E116" s="13">
        <v>3.33</v>
      </c>
      <c r="F116" s="13">
        <v>0</v>
      </c>
      <c r="G116" s="13">
        <v>3.33</v>
      </c>
      <c r="H116" s="13">
        <v>0</v>
      </c>
      <c r="I116" s="13">
        <v>3.33</v>
      </c>
      <c r="J116" s="13">
        <v>0</v>
      </c>
      <c r="K116" s="13">
        <v>3.33</v>
      </c>
      <c r="L116" s="13">
        <v>0</v>
      </c>
    </row>
    <row r="117" spans="1:13" x14ac:dyDescent="0.3">
      <c r="A117" s="11" t="s">
        <v>27</v>
      </c>
      <c r="B117" s="12">
        <v>0</v>
      </c>
      <c r="C117" s="12">
        <v>0</v>
      </c>
      <c r="D117" s="13">
        <v>0</v>
      </c>
      <c r="E117" s="13">
        <v>0</v>
      </c>
      <c r="F117" s="13">
        <v>0</v>
      </c>
      <c r="G117" s="13">
        <v>0</v>
      </c>
      <c r="H117" s="13">
        <v>0</v>
      </c>
      <c r="I117" s="13">
        <v>0</v>
      </c>
      <c r="J117" s="13">
        <v>0</v>
      </c>
      <c r="K117" s="13">
        <v>0</v>
      </c>
      <c r="L117" s="13">
        <v>0</v>
      </c>
      <c r="M117" s="19"/>
    </row>
    <row r="118" spans="1:13" x14ac:dyDescent="0.3">
      <c r="A118" s="11" t="s">
        <v>28</v>
      </c>
      <c r="B118" s="12">
        <v>5114.7</v>
      </c>
      <c r="C118" s="12">
        <v>2964.17</v>
      </c>
      <c r="D118" s="13">
        <v>-2150.5299999999997</v>
      </c>
      <c r="E118" s="13">
        <v>0</v>
      </c>
      <c r="F118" s="13">
        <v>-5114.7</v>
      </c>
      <c r="G118" s="13">
        <v>0</v>
      </c>
      <c r="H118" s="13">
        <v>-5114.7</v>
      </c>
      <c r="I118" s="13">
        <v>0</v>
      </c>
      <c r="J118" s="13">
        <v>-5114.7</v>
      </c>
      <c r="K118" s="13">
        <v>0</v>
      </c>
      <c r="L118" s="13">
        <v>-5114.7</v>
      </c>
      <c r="M118" s="19"/>
    </row>
    <row r="119" spans="1:13" x14ac:dyDescent="0.3">
      <c r="A119" s="11" t="s">
        <v>29</v>
      </c>
      <c r="B119" s="12">
        <v>0</v>
      </c>
      <c r="C119" s="12">
        <v>0</v>
      </c>
      <c r="D119" s="13">
        <v>0</v>
      </c>
      <c r="E119" s="13">
        <v>3995.2200000000003</v>
      </c>
      <c r="F119" s="13">
        <v>3995.2200000000003</v>
      </c>
      <c r="G119" s="13">
        <v>3916.26</v>
      </c>
      <c r="H119" s="13">
        <v>3916.26</v>
      </c>
      <c r="I119" s="13">
        <v>4025.08</v>
      </c>
      <c r="J119" s="13">
        <v>4025.08</v>
      </c>
      <c r="K119" s="13">
        <v>4115.87</v>
      </c>
      <c r="L119" s="13">
        <v>4115.87</v>
      </c>
      <c r="M119" s="19"/>
    </row>
    <row r="120" spans="1:13" x14ac:dyDescent="0.3">
      <c r="A120" s="11" t="s">
        <v>31</v>
      </c>
      <c r="B120" s="12">
        <v>121.4</v>
      </c>
      <c r="C120" s="12">
        <v>121.4</v>
      </c>
      <c r="D120" s="13">
        <v>0</v>
      </c>
      <c r="E120" s="13">
        <v>121.4</v>
      </c>
      <c r="F120" s="13">
        <v>0</v>
      </c>
      <c r="G120" s="13">
        <v>121.4</v>
      </c>
      <c r="H120" s="13">
        <v>0</v>
      </c>
      <c r="I120" s="13">
        <v>121.4</v>
      </c>
      <c r="J120" s="13">
        <v>0</v>
      </c>
      <c r="K120" s="13">
        <v>121.4</v>
      </c>
      <c r="L120" s="13">
        <v>0</v>
      </c>
      <c r="M120" s="19"/>
    </row>
    <row r="121" spans="1:13" x14ac:dyDescent="0.3">
      <c r="A121" s="3"/>
      <c r="B121" s="18"/>
      <c r="C121" s="3"/>
    </row>
    <row r="122" spans="1:13" x14ac:dyDescent="0.3">
      <c r="A122" s="17"/>
      <c r="B122" s="17"/>
      <c r="C122" s="17"/>
    </row>
    <row r="123" spans="1:13" x14ac:dyDescent="0.3">
      <c r="A123" s="17"/>
      <c r="B123" s="17"/>
      <c r="C123" s="17"/>
    </row>
    <row r="124" spans="1:13" x14ac:dyDescent="0.3">
      <c r="A124" s="17"/>
      <c r="B124" s="17"/>
      <c r="C124" s="17"/>
    </row>
    <row r="125" spans="1:13" x14ac:dyDescent="0.3">
      <c r="A125" s="17"/>
      <c r="B125" s="17"/>
      <c r="C125" s="17"/>
    </row>
    <row r="126" spans="1:13" x14ac:dyDescent="0.3">
      <c r="A126" s="17"/>
      <c r="B126" s="17"/>
      <c r="C126" s="17"/>
    </row>
    <row r="127" spans="1:13" x14ac:dyDescent="0.3">
      <c r="A127" s="17"/>
      <c r="B127" s="17"/>
      <c r="C127" s="17"/>
    </row>
    <row r="128" spans="1:13" x14ac:dyDescent="0.3">
      <c r="A128" s="17"/>
      <c r="B128" s="17"/>
      <c r="C128" s="17"/>
    </row>
    <row r="129" spans="1:3" x14ac:dyDescent="0.3">
      <c r="A129" s="17"/>
      <c r="B129" s="17"/>
      <c r="C129" s="17"/>
    </row>
  </sheetData>
  <mergeCells count="20">
    <mergeCell ref="V3:Z3"/>
    <mergeCell ref="A42:L42"/>
    <mergeCell ref="A58:L58"/>
    <mergeCell ref="A74:L74"/>
    <mergeCell ref="A90:L90"/>
    <mergeCell ref="C3:D3"/>
    <mergeCell ref="E3:F3"/>
    <mergeCell ref="G3:H3"/>
    <mergeCell ref="I3:J3"/>
    <mergeCell ref="K3:L3"/>
    <mergeCell ref="P3:T3"/>
    <mergeCell ref="B1:L1"/>
    <mergeCell ref="A106:L106"/>
    <mergeCell ref="A5:L5"/>
    <mergeCell ref="A22:L22"/>
    <mergeCell ref="C40:D40"/>
    <mergeCell ref="E40:F40"/>
    <mergeCell ref="G40:H40"/>
    <mergeCell ref="I40:J40"/>
    <mergeCell ref="K40:L40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5AB57F-643A-4393-9CF4-9B1D51870704}">
  <dimension ref="A1:J47"/>
  <sheetViews>
    <sheetView workbookViewId="0"/>
  </sheetViews>
  <sheetFormatPr defaultRowHeight="14.4" x14ac:dyDescent="0.3"/>
  <cols>
    <col min="1" max="1" width="15.109375" bestFit="1" customWidth="1"/>
    <col min="4" max="4" width="44.88671875" bestFit="1" customWidth="1"/>
    <col min="5" max="5" width="10.109375" bestFit="1" customWidth="1"/>
    <col min="6" max="8" width="9" bestFit="1" customWidth="1"/>
    <col min="9" max="9" width="8.6640625" bestFit="1" customWidth="1"/>
    <col min="10" max="10" width="110.77734375" bestFit="1" customWidth="1"/>
  </cols>
  <sheetData>
    <row r="1" spans="1:10" x14ac:dyDescent="0.3">
      <c r="A1" s="1" t="s">
        <v>177</v>
      </c>
    </row>
    <row r="4" spans="1:10" x14ac:dyDescent="0.3">
      <c r="D4" s="45" t="s">
        <v>190</v>
      </c>
    </row>
    <row r="5" spans="1:10" x14ac:dyDescent="0.3">
      <c r="A5" s="1" t="s">
        <v>191</v>
      </c>
      <c r="D5" s="46" t="s">
        <v>192</v>
      </c>
      <c r="E5" s="47">
        <v>2020</v>
      </c>
      <c r="F5" s="47">
        <f>E5+5</f>
        <v>2025</v>
      </c>
      <c r="G5" s="47">
        <f t="shared" ref="G5:I5" si="0">F5+5</f>
        <v>2030</v>
      </c>
      <c r="H5" s="47">
        <f t="shared" si="0"/>
        <v>2035</v>
      </c>
      <c r="I5" s="47">
        <f t="shared" si="0"/>
        <v>2040</v>
      </c>
      <c r="J5" s="48" t="s">
        <v>96</v>
      </c>
    </row>
    <row r="6" spans="1:10" x14ac:dyDescent="0.3">
      <c r="A6" s="49" t="s">
        <v>193</v>
      </c>
      <c r="B6" s="50">
        <v>1169.2068600368216</v>
      </c>
      <c r="D6" s="51" t="s">
        <v>194</v>
      </c>
      <c r="E6" s="52">
        <v>16.31269783829741</v>
      </c>
      <c r="F6" s="52">
        <v>16.197819684506584</v>
      </c>
      <c r="G6" s="52">
        <v>16.086132590543279</v>
      </c>
      <c r="H6" s="52">
        <v>15.645248865183889</v>
      </c>
      <c r="I6" s="52">
        <v>15.333583133871842</v>
      </c>
      <c r="J6" s="48" t="s">
        <v>195</v>
      </c>
    </row>
    <row r="7" spans="1:10" x14ac:dyDescent="0.3">
      <c r="A7" s="49" t="s">
        <v>190</v>
      </c>
      <c r="B7" s="52">
        <v>21.125492997994996</v>
      </c>
      <c r="D7" s="51" t="s">
        <v>196</v>
      </c>
      <c r="E7" s="52">
        <v>22.502655515546437</v>
      </c>
      <c r="F7" s="52">
        <v>17.733050304333979</v>
      </c>
      <c r="G7" s="52">
        <v>14.821868632962479</v>
      </c>
      <c r="H7" s="52">
        <v>11.826740840694347</v>
      </c>
      <c r="I7" s="52">
        <v>9.5581991113375633</v>
      </c>
      <c r="J7" s="53"/>
    </row>
    <row r="8" spans="1:10" x14ac:dyDescent="0.3">
      <c r="A8" s="54" t="s">
        <v>197</v>
      </c>
      <c r="B8" s="54">
        <f>B6/B7</f>
        <v>55.345778683024818</v>
      </c>
      <c r="D8" s="51" t="s">
        <v>198</v>
      </c>
      <c r="E8" s="52">
        <v>0.1117857151984306</v>
      </c>
      <c r="F8" s="52">
        <v>0.11155194225475654</v>
      </c>
      <c r="G8" s="52">
        <v>0.11132466300396249</v>
      </c>
      <c r="H8" s="52">
        <v>0.10824442598869263</v>
      </c>
      <c r="I8" s="52">
        <v>0.10656352744511105</v>
      </c>
      <c r="J8" s="53"/>
    </row>
    <row r="9" spans="1:10" x14ac:dyDescent="0.3">
      <c r="D9" s="51" t="s">
        <v>199</v>
      </c>
      <c r="E9" s="52">
        <v>1.8922384901408451</v>
      </c>
      <c r="F9" s="52">
        <v>1.8922384901408451</v>
      </c>
      <c r="G9" s="52">
        <v>1.8922384901408451</v>
      </c>
      <c r="H9" s="52">
        <v>1.8922384901408451</v>
      </c>
      <c r="I9" s="52">
        <v>1.8922384901408451</v>
      </c>
      <c r="J9" s="48" t="s">
        <v>200</v>
      </c>
    </row>
    <row r="10" spans="1:10" x14ac:dyDescent="0.3">
      <c r="D10" s="51" t="s">
        <v>201</v>
      </c>
      <c r="E10" s="52">
        <v>1.3999362476734496</v>
      </c>
      <c r="F10" s="52">
        <v>1.3999362476734496</v>
      </c>
      <c r="G10" s="52">
        <v>1.3999362476734496</v>
      </c>
      <c r="H10" s="52">
        <v>1.3999362476734496</v>
      </c>
      <c r="I10" s="52">
        <v>1.3999362476734496</v>
      </c>
      <c r="J10" s="55" t="s">
        <v>202</v>
      </c>
    </row>
    <row r="11" spans="1:10" x14ac:dyDescent="0.3">
      <c r="D11" s="51" t="s">
        <v>203</v>
      </c>
      <c r="E11" s="52">
        <v>4.3556428571428567</v>
      </c>
      <c r="F11" s="52">
        <v>4.3249693158953715</v>
      </c>
      <c r="G11" s="52">
        <v>4.2951478174603173</v>
      </c>
      <c r="H11" s="52">
        <v>4.1774277402402404</v>
      </c>
      <c r="I11" s="52">
        <v>4.0942100757029554</v>
      </c>
      <c r="J11" s="53"/>
    </row>
    <row r="12" spans="1:10" x14ac:dyDescent="0.3">
      <c r="D12" s="56" t="s">
        <v>204</v>
      </c>
      <c r="E12" s="57">
        <f>SUM(E6:E11)</f>
        <v>46.57495666399943</v>
      </c>
      <c r="F12" s="57">
        <f t="shared" ref="F12:I12" si="1">SUM(F6:F11)</f>
        <v>41.659565984804992</v>
      </c>
      <c r="G12" s="57">
        <f t="shared" si="1"/>
        <v>38.606648441784337</v>
      </c>
      <c r="H12" s="57">
        <f t="shared" si="1"/>
        <v>35.049836609921464</v>
      </c>
      <c r="I12" s="57">
        <f t="shared" si="1"/>
        <v>32.384730586171763</v>
      </c>
      <c r="J12" s="53"/>
    </row>
    <row r="13" spans="1:10" x14ac:dyDescent="0.3">
      <c r="D13" s="58" t="s">
        <v>205</v>
      </c>
      <c r="E13" s="59">
        <f>$A47*E12</f>
        <v>515.86616063365204</v>
      </c>
      <c r="F13" s="59">
        <f>$A47*F12</f>
        <v>461.42308866294945</v>
      </c>
      <c r="G13" s="59">
        <f>$A47*G12</f>
        <v>427.60884675155506</v>
      </c>
      <c r="H13" s="59">
        <f>$A47*H12</f>
        <v>388.2134507013489</v>
      </c>
      <c r="I13" s="59">
        <f>$A47*I12</f>
        <v>358.69462533621288</v>
      </c>
      <c r="J13" s="61" t="s">
        <v>212</v>
      </c>
    </row>
    <row r="14" spans="1:10" x14ac:dyDescent="0.3">
      <c r="J14" s="53"/>
    </row>
    <row r="15" spans="1:10" x14ac:dyDescent="0.3">
      <c r="D15" s="46" t="s">
        <v>206</v>
      </c>
      <c r="E15" s="47">
        <v>2020</v>
      </c>
      <c r="F15" s="47">
        <f>E15+5</f>
        <v>2025</v>
      </c>
      <c r="G15" s="47">
        <f t="shared" ref="G15:I15" si="2">F15+5</f>
        <v>2030</v>
      </c>
      <c r="H15" s="47">
        <f t="shared" si="2"/>
        <v>2035</v>
      </c>
      <c r="I15" s="47">
        <f t="shared" si="2"/>
        <v>2040</v>
      </c>
    </row>
    <row r="16" spans="1:10" x14ac:dyDescent="0.3">
      <c r="D16" s="51" t="s">
        <v>194</v>
      </c>
      <c r="E16" s="52">
        <v>0</v>
      </c>
      <c r="F16" s="52">
        <v>0</v>
      </c>
      <c r="G16" s="52">
        <v>0</v>
      </c>
      <c r="H16" s="52">
        <v>0</v>
      </c>
      <c r="I16" s="52">
        <v>0</v>
      </c>
      <c r="J16" s="48" t="s">
        <v>207</v>
      </c>
    </row>
    <row r="17" spans="4:10" x14ac:dyDescent="0.3">
      <c r="D17" s="51" t="s">
        <v>196</v>
      </c>
      <c r="E17" s="52">
        <v>21.125492997994996</v>
      </c>
      <c r="F17" s="52">
        <v>16.647787625708741</v>
      </c>
      <c r="G17" s="52">
        <v>13.914770272625173</v>
      </c>
      <c r="H17" s="52">
        <v>11.10294430124385</v>
      </c>
      <c r="I17" s="52">
        <v>8.9732373257237033</v>
      </c>
      <c r="J17" s="48" t="s">
        <v>208</v>
      </c>
    </row>
    <row r="18" spans="4:10" x14ac:dyDescent="0.3">
      <c r="D18" s="51" t="s">
        <v>198</v>
      </c>
      <c r="E18" s="52">
        <v>0.10494442942828591</v>
      </c>
      <c r="F18" s="52">
        <v>0.10472496338876622</v>
      </c>
      <c r="G18" s="52">
        <v>0.10451159362812192</v>
      </c>
      <c r="H18" s="52">
        <v>0.10161986711818563</v>
      </c>
      <c r="I18" s="52">
        <v>0.1000418395654704</v>
      </c>
      <c r="J18" s="53"/>
    </row>
    <row r="19" spans="4:10" x14ac:dyDescent="0.3">
      <c r="D19" s="51" t="s">
        <v>199</v>
      </c>
      <c r="E19" s="52">
        <v>1.8922384901408451</v>
      </c>
      <c r="F19" s="52">
        <v>1.8922384901408451</v>
      </c>
      <c r="G19" s="52">
        <v>1.8922384901408451</v>
      </c>
      <c r="H19" s="52">
        <v>1.8922384901408451</v>
      </c>
      <c r="I19" s="52">
        <v>1.8922384901408451</v>
      </c>
      <c r="J19" s="48" t="s">
        <v>200</v>
      </c>
    </row>
    <row r="20" spans="4:10" x14ac:dyDescent="0.3">
      <c r="D20" s="51" t="s">
        <v>201</v>
      </c>
      <c r="E20" s="52">
        <v>1.3999362476734496</v>
      </c>
      <c r="F20" s="52">
        <v>1.3999362476734496</v>
      </c>
      <c r="G20" s="52">
        <v>1.3999362476734496</v>
      </c>
      <c r="H20" s="52">
        <v>1.3999362476734496</v>
      </c>
      <c r="I20" s="52">
        <v>1.3999362476734496</v>
      </c>
      <c r="J20" s="55" t="s">
        <v>202</v>
      </c>
    </row>
    <row r="21" spans="4:10" x14ac:dyDescent="0.3">
      <c r="D21" s="51" t="s">
        <v>203</v>
      </c>
      <c r="E21" s="52">
        <v>4.3556428571428576</v>
      </c>
      <c r="F21" s="52">
        <v>4.3249693158953715</v>
      </c>
      <c r="G21" s="52">
        <v>4.2951478174603173</v>
      </c>
      <c r="H21" s="52">
        <v>4.1774277402402396</v>
      </c>
      <c r="I21" s="52">
        <v>4.0942100757029554</v>
      </c>
      <c r="J21" s="53"/>
    </row>
    <row r="22" spans="4:10" x14ac:dyDescent="0.3">
      <c r="D22" s="56" t="s">
        <v>209</v>
      </c>
      <c r="E22" s="57">
        <f>SUM(E16:E21)</f>
        <v>28.878255022380433</v>
      </c>
      <c r="F22" s="57">
        <f t="shared" ref="F22:I22" si="3">SUM(F16:F21)</f>
        <v>24.369656642807172</v>
      </c>
      <c r="G22" s="57">
        <f t="shared" si="3"/>
        <v>21.606604421527905</v>
      </c>
      <c r="H22" s="57">
        <f t="shared" si="3"/>
        <v>18.67416664641657</v>
      </c>
      <c r="I22" s="57">
        <f t="shared" si="3"/>
        <v>16.459663978806425</v>
      </c>
      <c r="J22" s="48" t="s">
        <v>207</v>
      </c>
    </row>
    <row r="23" spans="4:10" x14ac:dyDescent="0.3">
      <c r="D23" s="58" t="s">
        <v>205</v>
      </c>
      <c r="E23" s="59">
        <f>$A47*E22</f>
        <v>319.8567558885116</v>
      </c>
      <c r="F23" s="59">
        <f>$A47*F22</f>
        <v>269.91933237809235</v>
      </c>
      <c r="G23" s="59">
        <f>$A47*G22</f>
        <v>239.3156508480273</v>
      </c>
      <c r="H23" s="59">
        <f>$A47*H22</f>
        <v>206.83584786598686</v>
      </c>
      <c r="I23" s="59">
        <f>$A47*I22</f>
        <v>182.30792404859241</v>
      </c>
    </row>
    <row r="25" spans="4:10" x14ac:dyDescent="0.3">
      <c r="D25" s="45" t="s">
        <v>193</v>
      </c>
    </row>
    <row r="26" spans="4:10" x14ac:dyDescent="0.3">
      <c r="D26" s="46" t="s">
        <v>210</v>
      </c>
      <c r="E26" s="47">
        <v>2020</v>
      </c>
      <c r="F26" s="47">
        <f>E26+5</f>
        <v>2025</v>
      </c>
      <c r="G26" s="47">
        <f t="shared" ref="G26:I26" si="4">F26+5</f>
        <v>2030</v>
      </c>
      <c r="H26" s="47">
        <f t="shared" si="4"/>
        <v>2035</v>
      </c>
      <c r="I26" s="47">
        <f t="shared" si="4"/>
        <v>2040</v>
      </c>
    </row>
    <row r="27" spans="4:10" x14ac:dyDescent="0.3">
      <c r="D27" s="51" t="s">
        <v>194</v>
      </c>
      <c r="E27" s="52">
        <f>$B$8*E16</f>
        <v>0</v>
      </c>
      <c r="F27" s="52">
        <f t="shared" ref="F27:I27" si="5">$B$8*F16</f>
        <v>0</v>
      </c>
      <c r="G27" s="52">
        <f t="shared" si="5"/>
        <v>0</v>
      </c>
      <c r="H27" s="52">
        <f t="shared" si="5"/>
        <v>0</v>
      </c>
      <c r="I27" s="52">
        <f t="shared" si="5"/>
        <v>0</v>
      </c>
    </row>
    <row r="28" spans="4:10" x14ac:dyDescent="0.3">
      <c r="D28" s="51" t="s">
        <v>196</v>
      </c>
      <c r="E28" s="52">
        <f t="shared" ref="E28:I32" si="6">$B$8*E17</f>
        <v>1169.2068600368216</v>
      </c>
      <c r="F28" s="52">
        <f t="shared" si="6"/>
        <v>921.38476949447522</v>
      </c>
      <c r="G28" s="52">
        <f t="shared" si="6"/>
        <v>770.12379593384571</v>
      </c>
      <c r="H28" s="52">
        <f t="shared" si="6"/>
        <v>614.50109802659381</v>
      </c>
      <c r="I28" s="52">
        <f t="shared" si="6"/>
        <v>496.63080709976157</v>
      </c>
    </row>
    <row r="29" spans="4:10" x14ac:dyDescent="0.3">
      <c r="D29" s="51" t="s">
        <v>198</v>
      </c>
      <c r="E29" s="52">
        <f t="shared" si="6"/>
        <v>5.8082311651542291</v>
      </c>
      <c r="F29" s="52">
        <f t="shared" si="6"/>
        <v>5.796084646302532</v>
      </c>
      <c r="G29" s="52">
        <f t="shared" si="6"/>
        <v>5.7842755307522626</v>
      </c>
      <c r="H29" s="52">
        <f t="shared" si="6"/>
        <v>5.6242306753214928</v>
      </c>
      <c r="I29" s="52">
        <f t="shared" si="6"/>
        <v>5.5368935116332008</v>
      </c>
    </row>
    <row r="30" spans="4:10" x14ac:dyDescent="0.3">
      <c r="D30" s="51" t="s">
        <v>199</v>
      </c>
      <c r="E30" s="52">
        <f t="shared" si="6"/>
        <v>104.72741269083625</v>
      </c>
      <c r="F30" s="52">
        <f t="shared" si="6"/>
        <v>104.72741269083625</v>
      </c>
      <c r="G30" s="52">
        <f t="shared" si="6"/>
        <v>104.72741269083625</v>
      </c>
      <c r="H30" s="52">
        <f t="shared" si="6"/>
        <v>104.72741269083625</v>
      </c>
      <c r="I30" s="52">
        <f t="shared" si="6"/>
        <v>104.72741269083625</v>
      </c>
    </row>
    <row r="31" spans="4:10" x14ac:dyDescent="0.3">
      <c r="D31" s="51" t="s">
        <v>201</v>
      </c>
      <c r="E31" s="52">
        <f t="shared" si="6"/>
        <v>77.480561734078961</v>
      </c>
      <c r="F31" s="52">
        <f t="shared" si="6"/>
        <v>77.480561734078961</v>
      </c>
      <c r="G31" s="52">
        <f t="shared" si="6"/>
        <v>77.480561734078961</v>
      </c>
      <c r="H31" s="52">
        <f t="shared" si="6"/>
        <v>77.480561734078961</v>
      </c>
      <c r="I31" s="52">
        <f t="shared" si="6"/>
        <v>77.480561734078961</v>
      </c>
    </row>
    <row r="32" spans="4:10" x14ac:dyDescent="0.3">
      <c r="D32" s="51" t="s">
        <v>203</v>
      </c>
      <c r="E32" s="52">
        <f t="shared" si="6"/>
        <v>241.06644559372648</v>
      </c>
      <c r="F32" s="52">
        <f t="shared" si="6"/>
        <v>239.36879456841848</v>
      </c>
      <c r="G32" s="52">
        <f t="shared" si="6"/>
        <v>237.71830051603581</v>
      </c>
      <c r="H32" s="52">
        <f t="shared" si="6"/>
        <v>231.20299117566478</v>
      </c>
      <c r="I32" s="52">
        <f t="shared" si="6"/>
        <v>226.59724473166605</v>
      </c>
    </row>
    <row r="33" spans="1:9" x14ac:dyDescent="0.3">
      <c r="D33" s="56" t="s">
        <v>209</v>
      </c>
      <c r="E33" s="57">
        <f>SUM(E27:E32)</f>
        <v>1598.2895112206174</v>
      </c>
      <c r="F33" s="57">
        <f t="shared" ref="F33:I33" si="7">SUM(F27:F32)</f>
        <v>1348.7576231341116</v>
      </c>
      <c r="G33" s="57">
        <f t="shared" si="7"/>
        <v>1195.8343464055488</v>
      </c>
      <c r="H33" s="60">
        <f t="shared" si="7"/>
        <v>1033.5362943024952</v>
      </c>
      <c r="I33" s="57">
        <f t="shared" si="7"/>
        <v>910.97291976797601</v>
      </c>
    </row>
    <row r="34" spans="1:9" x14ac:dyDescent="0.3">
      <c r="H34" t="s">
        <v>211</v>
      </c>
    </row>
    <row r="37" spans="1:9" x14ac:dyDescent="0.3">
      <c r="A37" s="21" t="s">
        <v>178</v>
      </c>
    </row>
    <row r="39" spans="1:9" x14ac:dyDescent="0.3">
      <c r="A39">
        <v>288</v>
      </c>
      <c r="B39" t="s">
        <v>179</v>
      </c>
      <c r="C39" t="s">
        <v>180</v>
      </c>
    </row>
    <row r="40" spans="1:9" x14ac:dyDescent="0.3">
      <c r="A40">
        <v>9.3000000000000007</v>
      </c>
      <c r="B40" t="s">
        <v>181</v>
      </c>
      <c r="C40" t="s">
        <v>182</v>
      </c>
    </row>
    <row r="41" spans="1:9" x14ac:dyDescent="0.3">
      <c r="A41" s="42">
        <v>1104</v>
      </c>
      <c r="B41" t="s">
        <v>183</v>
      </c>
      <c r="C41" t="s">
        <v>184</v>
      </c>
    </row>
    <row r="42" spans="1:9" x14ac:dyDescent="0.3">
      <c r="A42" s="43">
        <f>1104/288</f>
        <v>3.8333333333333335</v>
      </c>
      <c r="B42" t="s">
        <v>183</v>
      </c>
      <c r="C42" t="s">
        <v>185</v>
      </c>
    </row>
    <row r="45" spans="1:9" x14ac:dyDescent="0.3">
      <c r="A45">
        <v>343</v>
      </c>
      <c r="B45" t="s">
        <v>186</v>
      </c>
      <c r="C45" t="s">
        <v>187</v>
      </c>
    </row>
    <row r="46" spans="1:9" x14ac:dyDescent="0.3">
      <c r="A46" s="44">
        <f>A40*A45</f>
        <v>3189.9</v>
      </c>
      <c r="B46" t="s">
        <v>188</v>
      </c>
    </row>
    <row r="47" spans="1:9" x14ac:dyDescent="0.3">
      <c r="A47" s="44">
        <f>A46/A39</f>
        <v>11.076041666666667</v>
      </c>
      <c r="B47" t="s">
        <v>189</v>
      </c>
    </row>
  </sheetData>
  <hyperlinks>
    <hyperlink ref="A37" r:id="rId1" xr:uid="{5D745ED7-7444-45C7-ACD4-1A1FE48468C6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E77042-4290-4576-9614-F436C14B72C6}">
  <dimension ref="A1:P45"/>
  <sheetViews>
    <sheetView workbookViewId="0">
      <selection activeCell="K5" sqref="K5"/>
    </sheetView>
  </sheetViews>
  <sheetFormatPr defaultRowHeight="14.4" x14ac:dyDescent="0.3"/>
  <cols>
    <col min="1" max="1" width="20.33203125" bestFit="1" customWidth="1"/>
    <col min="9" max="9" width="11" bestFit="1" customWidth="1"/>
    <col min="10" max="10" width="14" bestFit="1" customWidth="1"/>
    <col min="12" max="12" width="32.109375" bestFit="1" customWidth="1"/>
  </cols>
  <sheetData>
    <row r="1" spans="1:16" x14ac:dyDescent="0.3">
      <c r="A1" s="1" t="s">
        <v>172</v>
      </c>
      <c r="O1" s="21" t="s">
        <v>132</v>
      </c>
    </row>
    <row r="2" spans="1:16" x14ac:dyDescent="0.3">
      <c r="A2" s="21" t="s">
        <v>133</v>
      </c>
      <c r="O2" s="33" t="s">
        <v>134</v>
      </c>
    </row>
    <row r="3" spans="1:16" x14ac:dyDescent="0.3">
      <c r="A3" s="21"/>
    </row>
    <row r="4" spans="1:16" x14ac:dyDescent="0.3">
      <c r="A4" s="1" t="s">
        <v>135</v>
      </c>
    </row>
    <row r="5" spans="1:16" x14ac:dyDescent="0.3">
      <c r="A5" s="1"/>
      <c r="H5" s="5">
        <v>2040</v>
      </c>
      <c r="I5" s="30" t="s">
        <v>1</v>
      </c>
      <c r="J5" s="5" t="s">
        <v>161</v>
      </c>
      <c r="M5" s="115" t="s">
        <v>167</v>
      </c>
      <c r="N5" s="116"/>
    </row>
    <row r="6" spans="1:16" x14ac:dyDescent="0.3">
      <c r="A6" s="104" t="s">
        <v>136</v>
      </c>
      <c r="B6" s="104"/>
      <c r="C6" s="104"/>
      <c r="D6" s="104"/>
      <c r="E6" s="104"/>
      <c r="F6" s="104"/>
      <c r="H6" s="9" t="s">
        <v>8</v>
      </c>
      <c r="I6" s="31" t="s">
        <v>9</v>
      </c>
      <c r="J6" s="9" t="s">
        <v>163</v>
      </c>
      <c r="M6" s="30">
        <v>2040</v>
      </c>
      <c r="N6" s="5">
        <v>2040</v>
      </c>
    </row>
    <row r="7" spans="1:16" x14ac:dyDescent="0.3">
      <c r="A7" s="8" t="s">
        <v>137</v>
      </c>
      <c r="B7" s="8">
        <v>2019</v>
      </c>
      <c r="C7" s="8">
        <v>2025</v>
      </c>
      <c r="D7" s="8">
        <v>2030</v>
      </c>
      <c r="E7" s="8">
        <v>2035</v>
      </c>
      <c r="F7" s="8">
        <v>2040</v>
      </c>
      <c r="H7" s="10" t="s">
        <v>161</v>
      </c>
      <c r="I7" s="32" t="s">
        <v>16</v>
      </c>
      <c r="J7" s="10" t="s">
        <v>159</v>
      </c>
      <c r="M7" s="32" t="s">
        <v>168</v>
      </c>
      <c r="N7" s="32" t="s">
        <v>8</v>
      </c>
    </row>
    <row r="8" spans="1:16" x14ac:dyDescent="0.3">
      <c r="A8" s="16" t="s">
        <v>27</v>
      </c>
      <c r="B8" s="25">
        <v>5400</v>
      </c>
      <c r="C8" s="25">
        <v>3346</v>
      </c>
      <c r="D8" s="25">
        <v>3364</v>
      </c>
      <c r="E8" s="25">
        <v>3364</v>
      </c>
      <c r="F8" s="25">
        <v>3364</v>
      </c>
      <c r="H8" s="25">
        <f>F8-B8</f>
        <v>-2036</v>
      </c>
      <c r="I8" s="37"/>
      <c r="J8" s="16"/>
      <c r="L8" s="22" t="s">
        <v>85</v>
      </c>
      <c r="M8" s="25">
        <v>5400</v>
      </c>
      <c r="N8" s="25">
        <v>5400</v>
      </c>
      <c r="O8" s="14">
        <f>EIA!P18</f>
        <v>8040</v>
      </c>
      <c r="P8" s="36">
        <f>N8*O8/1000</f>
        <v>43416</v>
      </c>
    </row>
    <row r="9" spans="1:16" x14ac:dyDescent="0.3">
      <c r="A9" s="16" t="s">
        <v>138</v>
      </c>
      <c r="B9" s="25">
        <v>26262</v>
      </c>
      <c r="C9" s="25">
        <v>21310</v>
      </c>
      <c r="D9" s="25">
        <v>21232</v>
      </c>
      <c r="E9" s="25">
        <v>21234</v>
      </c>
      <c r="F9" s="16"/>
      <c r="H9" s="25">
        <f t="shared" ref="H9:H20" si="0">F9-B9</f>
        <v>-26262</v>
      </c>
      <c r="I9" s="37"/>
      <c r="J9" s="16"/>
      <c r="L9" t="s">
        <v>138</v>
      </c>
      <c r="M9" s="25">
        <v>26500</v>
      </c>
      <c r="N9" s="25">
        <f>M9-6500</f>
        <v>20000</v>
      </c>
    </row>
    <row r="10" spans="1:16" x14ac:dyDescent="0.3">
      <c r="A10" s="16" t="s">
        <v>139</v>
      </c>
      <c r="B10" s="16"/>
      <c r="C10" s="16"/>
      <c r="D10" s="16"/>
      <c r="E10" s="16"/>
      <c r="F10" s="25">
        <v>3812</v>
      </c>
      <c r="H10" s="25">
        <f t="shared" si="0"/>
        <v>3812</v>
      </c>
      <c r="I10" s="37"/>
      <c r="J10" s="16"/>
      <c r="L10" s="22" t="s">
        <v>77</v>
      </c>
      <c r="M10" s="16"/>
      <c r="N10" s="25">
        <f>N9-N11</f>
        <v>18500</v>
      </c>
      <c r="O10" s="14">
        <v>1725</v>
      </c>
      <c r="P10" s="36">
        <f t="shared" ref="P10:P11" si="1">N10*O10/1000</f>
        <v>31912.5</v>
      </c>
    </row>
    <row r="11" spans="1:16" x14ac:dyDescent="0.3">
      <c r="A11" s="16" t="s">
        <v>140</v>
      </c>
      <c r="B11" s="16"/>
      <c r="C11" s="16"/>
      <c r="D11" s="16"/>
      <c r="E11" s="16"/>
      <c r="F11" s="16"/>
      <c r="H11" s="25">
        <f t="shared" si="0"/>
        <v>0</v>
      </c>
      <c r="I11" s="37"/>
      <c r="J11" s="16"/>
      <c r="L11" s="22" t="s">
        <v>82</v>
      </c>
      <c r="M11" s="25"/>
      <c r="N11" s="25">
        <v>1500</v>
      </c>
      <c r="O11" s="14">
        <v>1144</v>
      </c>
      <c r="P11" s="36">
        <f t="shared" si="1"/>
        <v>1716</v>
      </c>
    </row>
    <row r="12" spans="1:16" x14ac:dyDescent="0.3">
      <c r="A12" s="16" t="s">
        <v>141</v>
      </c>
      <c r="B12" s="16"/>
      <c r="C12" s="16"/>
      <c r="D12" s="16">
        <v>420</v>
      </c>
      <c r="E12" s="25">
        <v>7053</v>
      </c>
      <c r="F12" s="25">
        <v>40938</v>
      </c>
      <c r="H12" s="25">
        <f t="shared" si="0"/>
        <v>40938</v>
      </c>
      <c r="I12" s="37"/>
      <c r="J12" s="16"/>
      <c r="M12" s="25"/>
      <c r="N12" s="25"/>
    </row>
    <row r="13" spans="1:16" x14ac:dyDescent="0.3">
      <c r="A13" s="16" t="s">
        <v>162</v>
      </c>
      <c r="B13" s="25">
        <f>SUM(B10:B12)</f>
        <v>0</v>
      </c>
      <c r="C13" s="25">
        <f t="shared" ref="C13:F13" si="2">SUM(C10:C12)</f>
        <v>0</v>
      </c>
      <c r="D13" s="25">
        <f t="shared" si="2"/>
        <v>420</v>
      </c>
      <c r="E13" s="25">
        <f t="shared" si="2"/>
        <v>7053</v>
      </c>
      <c r="F13" s="25">
        <f t="shared" si="2"/>
        <v>44750</v>
      </c>
      <c r="H13" s="25">
        <f t="shared" si="0"/>
        <v>44750</v>
      </c>
      <c r="I13" s="37">
        <f>Costs!N18</f>
        <v>7498</v>
      </c>
      <c r="J13" s="20">
        <f>H13*I13/1000</f>
        <v>335535.5</v>
      </c>
      <c r="M13" s="25"/>
      <c r="N13" s="25"/>
    </row>
    <row r="14" spans="1:16" x14ac:dyDescent="0.3">
      <c r="A14" s="16" t="s">
        <v>30</v>
      </c>
      <c r="B14" s="25"/>
      <c r="C14" s="25"/>
      <c r="D14" s="25"/>
      <c r="E14" s="25"/>
      <c r="F14" s="25"/>
      <c r="H14" s="25">
        <f>H13</f>
        <v>44750</v>
      </c>
      <c r="I14" s="37">
        <f>Costs!N19</f>
        <v>1033.5362943024952</v>
      </c>
      <c r="J14" s="20">
        <f t="shared" ref="J14:J20" si="3">H14*I14/1000</f>
        <v>46250.749170036659</v>
      </c>
      <c r="M14" s="25"/>
      <c r="N14" s="25"/>
    </row>
    <row r="15" spans="1:16" x14ac:dyDescent="0.3">
      <c r="A15" s="16" t="s">
        <v>142</v>
      </c>
      <c r="B15" s="25">
        <v>6331</v>
      </c>
      <c r="C15" s="25">
        <v>6302</v>
      </c>
      <c r="D15" s="25">
        <v>7537</v>
      </c>
      <c r="E15" s="25">
        <v>7540</v>
      </c>
      <c r="F15" s="25">
        <v>7540</v>
      </c>
      <c r="H15" s="25">
        <f t="shared" si="0"/>
        <v>1209</v>
      </c>
      <c r="I15" s="37">
        <f>Costs!N15</f>
        <v>4144</v>
      </c>
      <c r="J15" s="20">
        <f t="shared" si="3"/>
        <v>5010.0959999999995</v>
      </c>
      <c r="L15" s="16" t="s">
        <v>142</v>
      </c>
      <c r="M15" s="25">
        <v>7540</v>
      </c>
      <c r="N15" s="25">
        <f>H15</f>
        <v>1209</v>
      </c>
      <c r="O15" s="14">
        <f>EIA!P24</f>
        <v>4144</v>
      </c>
      <c r="P15" s="36">
        <f>N15*O15/1000</f>
        <v>5010.0959999999995</v>
      </c>
    </row>
    <row r="16" spans="1:16" x14ac:dyDescent="0.3">
      <c r="A16" s="16" t="s">
        <v>143</v>
      </c>
      <c r="B16" s="25">
        <v>1985</v>
      </c>
      <c r="C16" s="25">
        <v>3335</v>
      </c>
      <c r="D16" s="25">
        <v>9086</v>
      </c>
      <c r="E16" s="25">
        <v>12612</v>
      </c>
      <c r="F16" s="25">
        <v>19087</v>
      </c>
      <c r="H16" s="25">
        <f t="shared" si="0"/>
        <v>17102</v>
      </c>
      <c r="I16" s="37">
        <f>Costs!N6</f>
        <v>2281</v>
      </c>
      <c r="J16" s="20">
        <f t="shared" si="3"/>
        <v>39009.661999999997</v>
      </c>
      <c r="M16" s="25"/>
      <c r="N16" s="25"/>
    </row>
    <row r="17" spans="1:14" x14ac:dyDescent="0.3">
      <c r="A17" s="16" t="s">
        <v>144</v>
      </c>
      <c r="B17" s="16"/>
      <c r="C17" s="25">
        <v>1826</v>
      </c>
      <c r="D17" s="25">
        <v>5036</v>
      </c>
      <c r="E17" s="25">
        <v>9000</v>
      </c>
      <c r="F17" s="25">
        <v>9000</v>
      </c>
      <c r="H17" s="25">
        <f t="shared" si="0"/>
        <v>9000</v>
      </c>
      <c r="I17" s="37">
        <f>Costs!N8</f>
        <v>7370</v>
      </c>
      <c r="J17" s="20">
        <f t="shared" si="3"/>
        <v>66330</v>
      </c>
      <c r="M17" s="25"/>
      <c r="N17" s="25"/>
    </row>
    <row r="18" spans="1:14" x14ac:dyDescent="0.3">
      <c r="A18" s="16" t="s">
        <v>145</v>
      </c>
      <c r="B18" s="16">
        <v>32</v>
      </c>
      <c r="C18" s="25">
        <v>4676</v>
      </c>
      <c r="D18" s="25">
        <v>4676</v>
      </c>
      <c r="E18" s="25">
        <v>4676</v>
      </c>
      <c r="F18" s="25">
        <v>4676</v>
      </c>
      <c r="H18" s="25">
        <f t="shared" si="0"/>
        <v>4644</v>
      </c>
      <c r="I18" s="37">
        <f>Costs!N9</f>
        <v>1357</v>
      </c>
      <c r="J18" s="20">
        <f t="shared" si="3"/>
        <v>6301.9080000000004</v>
      </c>
      <c r="M18" s="25"/>
      <c r="N18" s="25"/>
    </row>
    <row r="19" spans="1:14" x14ac:dyDescent="0.3">
      <c r="A19" s="16" t="s">
        <v>146</v>
      </c>
      <c r="B19" s="25">
        <v>2116</v>
      </c>
      <c r="C19" s="25">
        <v>6834</v>
      </c>
      <c r="D19" s="25">
        <v>10055</v>
      </c>
      <c r="E19" s="25">
        <v>10828</v>
      </c>
      <c r="F19" s="25">
        <v>11198</v>
      </c>
      <c r="H19" s="25">
        <f t="shared" si="0"/>
        <v>9082</v>
      </c>
      <c r="I19" s="38">
        <f>Costs!N10</f>
        <v>1357</v>
      </c>
      <c r="J19" s="20">
        <f t="shared" si="3"/>
        <v>12324.273999999999</v>
      </c>
      <c r="M19" s="25"/>
      <c r="N19" s="25"/>
    </row>
    <row r="20" spans="1:14" x14ac:dyDescent="0.3">
      <c r="A20" s="16" t="s">
        <v>147</v>
      </c>
      <c r="B20" s="25">
        <v>1405</v>
      </c>
      <c r="C20" s="25">
        <v>2910</v>
      </c>
      <c r="D20" s="25">
        <v>4410</v>
      </c>
      <c r="E20" s="25">
        <v>5793</v>
      </c>
      <c r="F20" s="25">
        <v>11450</v>
      </c>
      <c r="H20" s="25">
        <f t="shared" si="0"/>
        <v>10045</v>
      </c>
      <c r="I20" s="37">
        <f>Costs!N11</f>
        <v>1321</v>
      </c>
      <c r="J20" s="20">
        <f t="shared" si="3"/>
        <v>13269.445</v>
      </c>
      <c r="M20" s="25"/>
      <c r="N20" s="25"/>
    </row>
    <row r="22" spans="1:14" x14ac:dyDescent="0.3">
      <c r="A22" s="104" t="s">
        <v>148</v>
      </c>
      <c r="B22" s="104"/>
      <c r="C22" s="104"/>
      <c r="D22" s="104"/>
      <c r="E22" s="104"/>
      <c r="F22" s="104"/>
    </row>
    <row r="23" spans="1:14" x14ac:dyDescent="0.3">
      <c r="A23" s="8" t="s">
        <v>137</v>
      </c>
      <c r="B23" s="8">
        <v>2019</v>
      </c>
      <c r="C23" s="8">
        <v>2025</v>
      </c>
      <c r="D23" s="8">
        <v>2030</v>
      </c>
      <c r="E23" s="8">
        <v>2035</v>
      </c>
      <c r="F23" s="8">
        <v>2040</v>
      </c>
      <c r="L23" s="88" t="s">
        <v>222</v>
      </c>
    </row>
    <row r="24" spans="1:14" x14ac:dyDescent="0.3">
      <c r="A24" s="16" t="s">
        <v>27</v>
      </c>
      <c r="B24" s="25">
        <v>45429</v>
      </c>
      <c r="C24" s="25">
        <v>28338</v>
      </c>
      <c r="D24" s="25">
        <v>27444</v>
      </c>
      <c r="E24" s="25">
        <v>28338</v>
      </c>
      <c r="F24" s="25">
        <v>27092</v>
      </c>
      <c r="L24" s="88" t="s">
        <v>223</v>
      </c>
      <c r="M24" s="42">
        <f>F13</f>
        <v>44750</v>
      </c>
      <c r="N24" s="83">
        <f>M24/M$28</f>
        <v>0.28719956358502069</v>
      </c>
    </row>
    <row r="25" spans="1:14" x14ac:dyDescent="0.3">
      <c r="A25" s="16" t="s">
        <v>138</v>
      </c>
      <c r="B25" s="25">
        <v>50520</v>
      </c>
      <c r="C25" s="25">
        <v>54174</v>
      </c>
      <c r="D25" s="25">
        <v>19987</v>
      </c>
      <c r="E25" s="25">
        <v>14516</v>
      </c>
      <c r="F25" s="16"/>
      <c r="L25" s="88" t="s">
        <v>22</v>
      </c>
      <c r="M25" s="42">
        <f>F20</f>
        <v>11450</v>
      </c>
      <c r="N25" s="83">
        <f>M25/M$28</f>
        <v>7.3484581073709213E-2</v>
      </c>
    </row>
    <row r="26" spans="1:14" x14ac:dyDescent="0.3">
      <c r="A26" s="16" t="s">
        <v>139</v>
      </c>
      <c r="B26" s="16"/>
      <c r="C26" s="16"/>
      <c r="D26" s="16"/>
      <c r="E26" s="16"/>
      <c r="F26" s="25">
        <v>33482</v>
      </c>
      <c r="L26" s="88" t="s">
        <v>23</v>
      </c>
      <c r="N26" s="83"/>
    </row>
    <row r="27" spans="1:14" x14ac:dyDescent="0.3">
      <c r="A27" s="16" t="s">
        <v>140</v>
      </c>
      <c r="B27" s="16"/>
      <c r="C27" s="16"/>
      <c r="D27" s="16"/>
      <c r="E27" s="16"/>
      <c r="F27" s="16"/>
      <c r="L27" s="88" t="s">
        <v>224</v>
      </c>
      <c r="M27" s="42">
        <f>F16+F17+F18+F19</f>
        <v>43961</v>
      </c>
      <c r="N27" s="83">
        <f>M27/M$28</f>
        <v>0.28213586625164455</v>
      </c>
    </row>
    <row r="28" spans="1:14" x14ac:dyDescent="0.3">
      <c r="A28" s="16" t="s">
        <v>149</v>
      </c>
      <c r="B28" s="16"/>
      <c r="C28" s="16"/>
      <c r="D28" s="16"/>
      <c r="E28" s="16"/>
      <c r="F28" s="16">
        <v>523</v>
      </c>
      <c r="L28" s="89" t="s">
        <v>1</v>
      </c>
      <c r="M28" s="42">
        <f>SUM(F8:F20)</f>
        <v>155815</v>
      </c>
    </row>
    <row r="29" spans="1:14" x14ac:dyDescent="0.3">
      <c r="A29" s="16" t="s">
        <v>142</v>
      </c>
      <c r="B29" s="25">
        <v>40034</v>
      </c>
      <c r="C29" s="25">
        <v>36418</v>
      </c>
      <c r="D29" s="25">
        <v>46342</v>
      </c>
      <c r="E29" s="25">
        <v>46392</v>
      </c>
      <c r="F29" s="25">
        <v>46391</v>
      </c>
    </row>
    <row r="30" spans="1:14" x14ac:dyDescent="0.3">
      <c r="A30" s="16" t="s">
        <v>143</v>
      </c>
      <c r="B30" s="25">
        <v>4416</v>
      </c>
      <c r="C30" s="25">
        <v>8189</v>
      </c>
      <c r="D30" s="25">
        <v>26971</v>
      </c>
      <c r="E30" s="25">
        <v>38297</v>
      </c>
      <c r="F30" s="25">
        <v>59362</v>
      </c>
    </row>
    <row r="31" spans="1:14" x14ac:dyDescent="0.3">
      <c r="A31" s="16" t="s">
        <v>144</v>
      </c>
      <c r="B31" s="16"/>
      <c r="C31" s="25">
        <v>7331</v>
      </c>
      <c r="D31" s="25">
        <v>20186</v>
      </c>
      <c r="E31" s="25">
        <v>35460</v>
      </c>
      <c r="F31" s="25">
        <v>35647</v>
      </c>
    </row>
    <row r="32" spans="1:14" x14ac:dyDescent="0.3">
      <c r="A32" s="16" t="s">
        <v>145</v>
      </c>
      <c r="B32" s="16">
        <v>51</v>
      </c>
      <c r="C32" s="25">
        <v>8817</v>
      </c>
      <c r="D32" s="25">
        <v>8816</v>
      </c>
      <c r="E32" s="25">
        <v>8817</v>
      </c>
      <c r="F32" s="25">
        <v>8819</v>
      </c>
    </row>
    <row r="33" spans="1:6" x14ac:dyDescent="0.3">
      <c r="A33" s="16" t="s">
        <v>146</v>
      </c>
      <c r="B33" s="25">
        <v>2761</v>
      </c>
      <c r="C33" s="25">
        <v>7483</v>
      </c>
      <c r="D33" s="25">
        <v>11068</v>
      </c>
      <c r="E33" s="25">
        <v>11983</v>
      </c>
      <c r="F33" s="16">
        <v>12.454000000000001</v>
      </c>
    </row>
    <row r="34" spans="1:6" x14ac:dyDescent="0.3">
      <c r="A34" s="16" t="s">
        <v>147</v>
      </c>
      <c r="B34" s="16">
        <v>612</v>
      </c>
      <c r="C34" s="25">
        <v>4347</v>
      </c>
      <c r="D34" s="25">
        <v>7004</v>
      </c>
      <c r="E34" s="25">
        <v>10084</v>
      </c>
      <c r="F34" s="25">
        <v>21339</v>
      </c>
    </row>
    <row r="35" spans="1:6" x14ac:dyDescent="0.3">
      <c r="A35" s="16" t="s">
        <v>150</v>
      </c>
      <c r="B35" s="25">
        <v>146262</v>
      </c>
      <c r="C35" s="25">
        <v>157088</v>
      </c>
      <c r="D35" s="25">
        <v>169810</v>
      </c>
      <c r="E35" s="25">
        <v>195879</v>
      </c>
      <c r="F35" s="25">
        <v>245109</v>
      </c>
    </row>
    <row r="36" spans="1:6" x14ac:dyDescent="0.3">
      <c r="A36" s="16" t="s">
        <v>151</v>
      </c>
      <c r="B36" s="25">
        <v>47261</v>
      </c>
      <c r="C36" s="25">
        <v>68238</v>
      </c>
      <c r="D36" s="25">
        <v>113383</v>
      </c>
      <c r="E36" s="25">
        <v>140949</v>
      </c>
      <c r="F36" s="25">
        <v>162672</v>
      </c>
    </row>
    <row r="37" spans="1:6" x14ac:dyDescent="0.3">
      <c r="A37" s="16" t="s">
        <v>152</v>
      </c>
      <c r="B37" s="25">
        <v>93301</v>
      </c>
      <c r="C37" s="25">
        <v>100922</v>
      </c>
      <c r="D37" s="25">
        <v>147831</v>
      </c>
      <c r="E37" s="25">
        <v>179371</v>
      </c>
      <c r="F37" s="25">
        <v>245109</v>
      </c>
    </row>
    <row r="38" spans="1:6" x14ac:dyDescent="0.3">
      <c r="A38" s="16" t="s">
        <v>153</v>
      </c>
      <c r="B38" s="25">
        <v>151386</v>
      </c>
      <c r="C38" s="25">
        <v>152336</v>
      </c>
      <c r="D38" s="25">
        <v>162122</v>
      </c>
      <c r="E38" s="25">
        <v>184836</v>
      </c>
      <c r="F38" s="25">
        <v>221828</v>
      </c>
    </row>
    <row r="39" spans="1:6" x14ac:dyDescent="0.3">
      <c r="A39" s="16" t="s">
        <v>154</v>
      </c>
      <c r="B39" s="25">
        <v>151773</v>
      </c>
      <c r="C39" s="25">
        <v>157089</v>
      </c>
      <c r="D39" s="25">
        <v>169811</v>
      </c>
      <c r="E39" s="25">
        <v>195879</v>
      </c>
      <c r="F39" s="25">
        <v>245109</v>
      </c>
    </row>
    <row r="40" spans="1:6" x14ac:dyDescent="0.3">
      <c r="A40" s="16" t="s">
        <v>155</v>
      </c>
      <c r="B40" s="34">
        <v>0.31</v>
      </c>
      <c r="C40" s="34">
        <v>0.45</v>
      </c>
      <c r="D40" s="34">
        <v>0.7</v>
      </c>
      <c r="E40" s="34">
        <v>0.76</v>
      </c>
      <c r="F40" s="34">
        <v>0.73</v>
      </c>
    </row>
    <row r="41" spans="1:6" x14ac:dyDescent="0.3">
      <c r="A41" s="16" t="s">
        <v>156</v>
      </c>
      <c r="B41" s="34">
        <v>0.61</v>
      </c>
      <c r="C41" s="34">
        <v>0.64</v>
      </c>
      <c r="D41" s="34">
        <v>0.87</v>
      </c>
      <c r="E41" s="34">
        <v>0.92</v>
      </c>
      <c r="F41" s="34">
        <v>1</v>
      </c>
    </row>
    <row r="43" spans="1:6" x14ac:dyDescent="0.3">
      <c r="A43" s="106" t="s">
        <v>157</v>
      </c>
      <c r="B43" s="106"/>
      <c r="C43" s="106"/>
      <c r="D43" s="106"/>
      <c r="E43" s="106"/>
      <c r="F43" s="106"/>
    </row>
    <row r="44" spans="1:6" x14ac:dyDescent="0.3">
      <c r="B44" s="8">
        <v>2019</v>
      </c>
      <c r="C44" s="8">
        <v>2025</v>
      </c>
      <c r="D44" s="8">
        <v>2030</v>
      </c>
      <c r="E44" s="8">
        <v>2035</v>
      </c>
      <c r="F44" s="8">
        <v>2040</v>
      </c>
    </row>
    <row r="45" spans="1:6" x14ac:dyDescent="0.3">
      <c r="A45" s="8" t="s">
        <v>158</v>
      </c>
      <c r="B45" s="35">
        <v>22.24</v>
      </c>
      <c r="C45" s="35">
        <v>23.53</v>
      </c>
      <c r="D45" s="35">
        <v>8.5</v>
      </c>
      <c r="E45" s="35">
        <v>6.22</v>
      </c>
      <c r="F45" s="35">
        <v>0</v>
      </c>
    </row>
  </sheetData>
  <mergeCells count="4">
    <mergeCell ref="A6:F6"/>
    <mergeCell ref="A22:F22"/>
    <mergeCell ref="A43:F43"/>
    <mergeCell ref="M5:N5"/>
  </mergeCells>
  <hyperlinks>
    <hyperlink ref="A2" r:id="rId1" xr:uid="{19AC10A6-76AF-4A23-8EAC-B76EEB4579F1}"/>
    <hyperlink ref="O1" r:id="rId2" display="https://www.nyiso.com/documents/20142/30198298/06 System_Resource_Outlook_CapEx_Updates.pdf/fd3e3ea9-cdb1-c86e-df17-d48f2ed368db" xr:uid="{18BE0AE1-88C8-4DBC-A829-8CB290F8723A}"/>
  </hyperlinks>
  <pageMargins left="0.7" right="0.7" top="0.75" bottom="0.75" header="0.3" footer="0.3"/>
  <pageSetup orientation="portrait" horizontalDpi="4294967293" verticalDpi="0"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6728F6-890B-4F92-8AFB-F0CE9A42C04E}">
  <dimension ref="B1:S48"/>
  <sheetViews>
    <sheetView showGridLines="0" tabSelected="1" zoomScaleNormal="100" workbookViewId="0">
      <selection activeCell="B1" sqref="B1"/>
    </sheetView>
  </sheetViews>
  <sheetFormatPr defaultRowHeight="14.4" x14ac:dyDescent="0.3"/>
  <cols>
    <col min="1" max="1" width="2.77734375" customWidth="1"/>
    <col min="2" max="2" width="25.5546875" bestFit="1" customWidth="1"/>
    <col min="3" max="3" width="9.6640625" bestFit="1" customWidth="1"/>
    <col min="4" max="7" width="11" bestFit="1" customWidth="1"/>
    <col min="8" max="8" width="0.77734375" customWidth="1"/>
    <col min="9" max="9" width="18.33203125" bestFit="1" customWidth="1"/>
    <col min="10" max="10" width="5.6640625" customWidth="1"/>
    <col min="11" max="11" width="12.44140625" bestFit="1" customWidth="1"/>
    <col min="15" max="18" width="9.5546875" bestFit="1" customWidth="1"/>
  </cols>
  <sheetData>
    <row r="1" spans="2:11" x14ac:dyDescent="0.3">
      <c r="B1" s="1" t="s">
        <v>213</v>
      </c>
      <c r="I1" t="s">
        <v>214</v>
      </c>
      <c r="K1" t="s">
        <v>215</v>
      </c>
    </row>
    <row r="3" spans="2:11" x14ac:dyDescent="0.3">
      <c r="B3" s="5"/>
      <c r="C3" s="104" t="s">
        <v>164</v>
      </c>
      <c r="D3" s="104"/>
      <c r="E3" s="104"/>
      <c r="F3" s="104"/>
      <c r="G3" s="104"/>
      <c r="I3" s="5" t="s">
        <v>160</v>
      </c>
      <c r="K3" s="5" t="s">
        <v>170</v>
      </c>
    </row>
    <row r="4" spans="2:11" x14ac:dyDescent="0.3">
      <c r="B4" s="32" t="s">
        <v>137</v>
      </c>
      <c r="C4" s="8" t="s">
        <v>10</v>
      </c>
      <c r="D4" s="8" t="s">
        <v>11</v>
      </c>
      <c r="E4" s="8" t="s">
        <v>12</v>
      </c>
      <c r="F4" s="8" t="s">
        <v>13</v>
      </c>
      <c r="G4" s="8" t="s">
        <v>14</v>
      </c>
      <c r="I4" s="32" t="s">
        <v>165</v>
      </c>
      <c r="K4" s="32" t="s">
        <v>171</v>
      </c>
    </row>
    <row r="5" spans="2:11" x14ac:dyDescent="0.3">
      <c r="B5" s="11" t="s">
        <v>17</v>
      </c>
      <c r="C5" s="39">
        <f>Costs!V39</f>
        <v>1869.7599999999998</v>
      </c>
      <c r="D5" s="39">
        <f>Costs!W39</f>
        <v>4267.9800000000014</v>
      </c>
      <c r="E5" s="39">
        <f>Costs!X39</f>
        <v>3928.5099999999989</v>
      </c>
      <c r="F5" s="39">
        <f>Costs!Y39</f>
        <v>4208.95</v>
      </c>
      <c r="G5" s="39">
        <f>Costs!Z39</f>
        <v>4365.5600000000004</v>
      </c>
      <c r="I5" s="39">
        <f>NYISO!H16</f>
        <v>17102</v>
      </c>
      <c r="K5" s="16"/>
    </row>
    <row r="6" spans="2:11" x14ac:dyDescent="0.3">
      <c r="B6" s="11" t="s">
        <v>18</v>
      </c>
      <c r="C6" s="39">
        <f>Costs!V40</f>
        <v>0</v>
      </c>
      <c r="D6" s="39">
        <f>Costs!W40</f>
        <v>6104.3099999999995</v>
      </c>
      <c r="E6" s="39">
        <f>Costs!X40</f>
        <v>6396.79</v>
      </c>
      <c r="F6" s="39">
        <f>Costs!Y40</f>
        <v>6396.7800000000007</v>
      </c>
      <c r="G6" s="39">
        <f>Costs!Z40</f>
        <v>6396.79</v>
      </c>
      <c r="I6" s="39"/>
      <c r="K6" s="16"/>
    </row>
    <row r="7" spans="2:11" x14ac:dyDescent="0.3">
      <c r="B7" s="11" t="s">
        <v>19</v>
      </c>
      <c r="C7" s="39">
        <f>Costs!V41</f>
        <v>9000</v>
      </c>
      <c r="D7" s="39">
        <f>Costs!W41</f>
        <v>14528.63</v>
      </c>
      <c r="E7" s="39">
        <f>Costs!X41</f>
        <v>14363.650000000001</v>
      </c>
      <c r="F7" s="39">
        <f>Costs!Y41</f>
        <v>16756.489999999998</v>
      </c>
      <c r="G7" s="39">
        <f>Costs!Z41</f>
        <v>15874.669999999998</v>
      </c>
      <c r="I7" s="39">
        <f>NYISO!H17</f>
        <v>9000</v>
      </c>
      <c r="K7" s="16"/>
    </row>
    <row r="8" spans="2:11" x14ac:dyDescent="0.3">
      <c r="B8" s="11" t="s">
        <v>20</v>
      </c>
      <c r="C8" s="39">
        <f>Costs!V42</f>
        <v>6803.05</v>
      </c>
      <c r="D8" s="39">
        <f>Costs!W42</f>
        <v>24270.79</v>
      </c>
      <c r="E8" s="39">
        <f>Costs!X42</f>
        <v>27359.369999999995</v>
      </c>
      <c r="F8" s="39">
        <f>Costs!Y42</f>
        <v>25347.74</v>
      </c>
      <c r="G8" s="39">
        <f>Costs!Z42</f>
        <v>25550.86</v>
      </c>
      <c r="I8" s="39">
        <f>NYISO!H18</f>
        <v>4644</v>
      </c>
      <c r="K8" s="16"/>
    </row>
    <row r="9" spans="2:11" x14ac:dyDescent="0.3">
      <c r="B9" s="11" t="s">
        <v>21</v>
      </c>
      <c r="C9" s="39">
        <f>Costs!V43</f>
        <v>5265.75</v>
      </c>
      <c r="D9" s="39">
        <f>Costs!W43</f>
        <v>13480.740000000002</v>
      </c>
      <c r="E9" s="39">
        <f>Costs!X43</f>
        <v>13480.740000000002</v>
      </c>
      <c r="F9" s="39">
        <f>Costs!Y43</f>
        <v>13480.73</v>
      </c>
      <c r="G9" s="39">
        <f>Costs!Z43</f>
        <v>13480.740000000002</v>
      </c>
      <c r="I9" s="39">
        <f>NYISO!H19</f>
        <v>9082</v>
      </c>
      <c r="K9" s="16"/>
    </row>
    <row r="10" spans="2:11" x14ac:dyDescent="0.3">
      <c r="B10" s="11" t="s">
        <v>22</v>
      </c>
      <c r="C10" s="39">
        <f>Costs!V44</f>
        <v>4122.28</v>
      </c>
      <c r="D10" s="39">
        <f>Costs!W44</f>
        <v>9514.36</v>
      </c>
      <c r="E10" s="39">
        <f>Costs!X44</f>
        <v>9963.1699999999983</v>
      </c>
      <c r="F10" s="39">
        <f>Costs!Y44</f>
        <v>11457.02</v>
      </c>
      <c r="G10" s="39">
        <f>Costs!Z44</f>
        <v>10826.19</v>
      </c>
      <c r="I10" s="39">
        <f>NYISO!H20</f>
        <v>10045</v>
      </c>
      <c r="K10" s="16"/>
    </row>
    <row r="11" spans="2:11" x14ac:dyDescent="0.3">
      <c r="B11" s="11" t="s">
        <v>23</v>
      </c>
      <c r="C11" s="39">
        <f>Costs!V45</f>
        <v>0</v>
      </c>
      <c r="D11" s="39">
        <f>Costs!W45</f>
        <v>0</v>
      </c>
      <c r="E11" s="39">
        <f>Costs!X45</f>
        <v>0</v>
      </c>
      <c r="F11" s="39">
        <f>Costs!Y45</f>
        <v>0</v>
      </c>
      <c r="G11" s="39">
        <f>Costs!Z45</f>
        <v>0</v>
      </c>
      <c r="I11" s="39">
        <f>NYISO!H11</f>
        <v>0</v>
      </c>
      <c r="K11" s="16"/>
    </row>
    <row r="12" spans="2:11" x14ac:dyDescent="0.3">
      <c r="B12" s="11" t="s">
        <v>24</v>
      </c>
      <c r="C12" s="39">
        <f>Costs!V46</f>
        <v>1250</v>
      </c>
      <c r="D12" s="39">
        <f>Costs!W46</f>
        <v>2550</v>
      </c>
      <c r="E12" s="39">
        <f>Costs!X46</f>
        <v>2550</v>
      </c>
      <c r="F12" s="39">
        <f>Costs!Y46</f>
        <v>2550</v>
      </c>
      <c r="G12" s="39">
        <f>Costs!Z46</f>
        <v>2550</v>
      </c>
      <c r="I12" s="39"/>
      <c r="K12" s="16"/>
    </row>
    <row r="13" spans="2:11" x14ac:dyDescent="0.3">
      <c r="B13" s="11" t="s">
        <v>25</v>
      </c>
      <c r="C13" s="39">
        <f>Costs!V47</f>
        <v>0</v>
      </c>
      <c r="D13" s="39">
        <f>Costs!W47</f>
        <v>0</v>
      </c>
      <c r="E13" s="39">
        <f>Costs!X47</f>
        <v>0</v>
      </c>
      <c r="F13" s="39">
        <f>Costs!Y47</f>
        <v>0</v>
      </c>
      <c r="G13" s="39">
        <f>Costs!Z47</f>
        <v>0</v>
      </c>
      <c r="I13" s="39"/>
      <c r="K13" s="16"/>
    </row>
    <row r="14" spans="2:11" x14ac:dyDescent="0.3">
      <c r="B14" s="11" t="s">
        <v>26</v>
      </c>
      <c r="C14" s="39">
        <f>Costs!V48</f>
        <v>340.98999999999978</v>
      </c>
      <c r="D14" s="39">
        <f>Costs!W48</f>
        <v>344.32999999999993</v>
      </c>
      <c r="E14" s="39">
        <f>Costs!X48</f>
        <v>344.32999999999993</v>
      </c>
      <c r="F14" s="39">
        <f>Costs!Y48</f>
        <v>344.32999999999993</v>
      </c>
      <c r="G14" s="39">
        <f>Costs!Z48</f>
        <v>344.32999999999993</v>
      </c>
      <c r="I14" s="39">
        <f>NYISO!H15</f>
        <v>1209</v>
      </c>
      <c r="K14" s="40">
        <f>I14</f>
        <v>1209</v>
      </c>
    </row>
    <row r="15" spans="2:11" x14ac:dyDescent="0.3">
      <c r="B15" s="11" t="s">
        <v>27</v>
      </c>
      <c r="C15" s="39">
        <f>Costs!V49</f>
        <v>-3573</v>
      </c>
      <c r="D15" s="39">
        <f>Costs!W49</f>
        <v>-1505</v>
      </c>
      <c r="E15" s="39">
        <f>Costs!X49</f>
        <v>-1505</v>
      </c>
      <c r="F15" s="39">
        <f>Costs!Y49</f>
        <v>-1505</v>
      </c>
      <c r="G15" s="39">
        <f>Costs!Z49</f>
        <v>-1505</v>
      </c>
      <c r="I15" s="39"/>
      <c r="K15" s="25">
        <f>NYISO!N8</f>
        <v>5400</v>
      </c>
    </row>
    <row r="16" spans="2:11" x14ac:dyDescent="0.3">
      <c r="B16" s="11" t="s">
        <v>28</v>
      </c>
      <c r="C16" s="39">
        <f>Costs!V50</f>
        <v>-10069.120000000003</v>
      </c>
      <c r="D16" s="39">
        <f>Costs!W50</f>
        <v>-26388.100000000002</v>
      </c>
      <c r="E16" s="39">
        <f>Costs!X50</f>
        <v>-26388.100000000002</v>
      </c>
      <c r="F16" s="39">
        <f>Costs!Y50</f>
        <v>-26388.100000000002</v>
      </c>
      <c r="G16" s="39">
        <f>Costs!Z50</f>
        <v>-26388.100000000002</v>
      </c>
      <c r="I16" s="39"/>
      <c r="K16" s="25">
        <f>NYISO!N9</f>
        <v>20000</v>
      </c>
    </row>
    <row r="17" spans="2:18" x14ac:dyDescent="0.3">
      <c r="B17" s="11" t="s">
        <v>29</v>
      </c>
      <c r="C17" s="39">
        <f>Costs!V51</f>
        <v>0</v>
      </c>
      <c r="D17" s="39">
        <f>Costs!W51</f>
        <v>22520.989999999998</v>
      </c>
      <c r="E17" s="39">
        <f>Costs!X51</f>
        <v>21015.35</v>
      </c>
      <c r="F17" s="39">
        <f>Costs!Y51</f>
        <v>23521.589999999997</v>
      </c>
      <c r="G17" s="39">
        <f>Costs!Z51</f>
        <v>23676.28</v>
      </c>
      <c r="I17" s="39">
        <f>NYISO!H13</f>
        <v>44750</v>
      </c>
      <c r="K17" s="16"/>
    </row>
    <row r="18" spans="2:18" x14ac:dyDescent="0.3">
      <c r="B18" s="11" t="s">
        <v>130</v>
      </c>
      <c r="C18" s="39">
        <f>Costs!V52</f>
        <v>0</v>
      </c>
      <c r="D18" s="39">
        <f>Costs!W52</f>
        <v>22520.989999999998</v>
      </c>
      <c r="E18" s="39">
        <f>Costs!X52</f>
        <v>21015.35</v>
      </c>
      <c r="F18" s="39">
        <f>Costs!Y52</f>
        <v>23521.589999999997</v>
      </c>
      <c r="G18" s="39">
        <f>Costs!Z52</f>
        <v>23676.28</v>
      </c>
      <c r="I18" s="39">
        <f>I17</f>
        <v>44750</v>
      </c>
      <c r="K18" s="16"/>
    </row>
    <row r="19" spans="2:18" x14ac:dyDescent="0.3">
      <c r="B19" s="11" t="s">
        <v>31</v>
      </c>
      <c r="C19" s="39">
        <f>Costs!V53</f>
        <v>0</v>
      </c>
      <c r="D19" s="39">
        <f>Costs!W53</f>
        <v>0</v>
      </c>
      <c r="E19" s="39">
        <f>Costs!X53</f>
        <v>0</v>
      </c>
      <c r="F19" s="39">
        <f>Costs!Y53</f>
        <v>0</v>
      </c>
      <c r="G19" s="39">
        <f>Costs!Z53</f>
        <v>0</v>
      </c>
      <c r="I19" s="39"/>
      <c r="K19" s="16"/>
    </row>
    <row r="21" spans="2:18" x14ac:dyDescent="0.3">
      <c r="B21" s="5"/>
      <c r="C21" s="104" t="s">
        <v>131</v>
      </c>
      <c r="D21" s="104"/>
      <c r="E21" s="104"/>
      <c r="F21" s="104"/>
      <c r="G21" s="104"/>
      <c r="I21" s="5" t="s">
        <v>160</v>
      </c>
      <c r="K21" s="5" t="s">
        <v>170</v>
      </c>
      <c r="N21" s="104" t="s">
        <v>131</v>
      </c>
      <c r="O21" s="104"/>
      <c r="P21" s="104"/>
      <c r="Q21" s="104"/>
      <c r="R21" s="104"/>
    </row>
    <row r="22" spans="2:18" x14ac:dyDescent="0.3">
      <c r="B22" s="32" t="s">
        <v>137</v>
      </c>
      <c r="C22" s="8" t="s">
        <v>10</v>
      </c>
      <c r="D22" s="8" t="s">
        <v>11</v>
      </c>
      <c r="E22" s="8" t="s">
        <v>12</v>
      </c>
      <c r="F22" s="8" t="s">
        <v>13</v>
      </c>
      <c r="G22" s="8" t="s">
        <v>14</v>
      </c>
      <c r="I22" s="32" t="s">
        <v>159</v>
      </c>
      <c r="K22" s="32" t="s">
        <v>171</v>
      </c>
      <c r="N22" s="8" t="s">
        <v>10</v>
      </c>
      <c r="O22" s="8" t="s">
        <v>11</v>
      </c>
      <c r="P22" s="8" t="s">
        <v>12</v>
      </c>
      <c r="Q22" s="8" t="s">
        <v>13</v>
      </c>
      <c r="R22" s="8" t="s">
        <v>14</v>
      </c>
    </row>
    <row r="23" spans="2:18" x14ac:dyDescent="0.3">
      <c r="B23" s="11" t="s">
        <v>17</v>
      </c>
      <c r="C23" s="15">
        <f>Costs!P6+Costs!P23</f>
        <v>4264.92256</v>
      </c>
      <c r="D23" s="15">
        <f>Costs!Q6+Costs!Q23</f>
        <v>9735.2623800000019</v>
      </c>
      <c r="E23" s="15">
        <f>Costs!R6+Costs!R23</f>
        <v>8960.9313099999963</v>
      </c>
      <c r="F23" s="15">
        <f>Costs!S6+Costs!S23</f>
        <v>9600.6149499999992</v>
      </c>
      <c r="G23" s="15">
        <f>Costs!T6+Costs!T23</f>
        <v>9957.8423600000006</v>
      </c>
      <c r="I23" s="15">
        <f>NYISO!J16</f>
        <v>39009.661999999997</v>
      </c>
      <c r="K23" s="15">
        <f>NYISO!K16</f>
        <v>0</v>
      </c>
    </row>
    <row r="24" spans="2:18" x14ac:dyDescent="0.3">
      <c r="B24" s="11" t="s">
        <v>18</v>
      </c>
      <c r="C24" s="15">
        <f>Costs!P7+Costs!P24</f>
        <v>0</v>
      </c>
      <c r="D24" s="15">
        <f>Costs!Q7+Costs!Q24</f>
        <v>0</v>
      </c>
      <c r="E24" s="15">
        <f>Costs!R7+Costs!R24</f>
        <v>0</v>
      </c>
      <c r="F24" s="15">
        <f>Costs!S7+Costs!S24</f>
        <v>0</v>
      </c>
      <c r="G24" s="15">
        <f>Costs!T7+Costs!T24</f>
        <v>0</v>
      </c>
      <c r="I24" s="15"/>
      <c r="K24" s="15"/>
      <c r="O24" s="64">
        <f t="shared" ref="O24:O28" si="0">D24-$C24</f>
        <v>0</v>
      </c>
      <c r="P24" s="64">
        <f t="shared" ref="P24:P28" si="1">E24-$C24</f>
        <v>0</v>
      </c>
      <c r="Q24" s="64">
        <f t="shared" ref="Q24:Q28" si="2">F24-$C24</f>
        <v>0</v>
      </c>
      <c r="R24" s="64">
        <f t="shared" ref="R24:R28" si="3">G24-$C24</f>
        <v>0</v>
      </c>
    </row>
    <row r="25" spans="2:18" x14ac:dyDescent="0.3">
      <c r="B25" s="11" t="s">
        <v>19</v>
      </c>
      <c r="C25" s="15">
        <f>Costs!P8+Costs!P25</f>
        <v>54711</v>
      </c>
      <c r="D25" s="15">
        <f>Costs!Q8+Costs!Q25</f>
        <v>88319.541769999996</v>
      </c>
      <c r="E25" s="15">
        <f>Costs!R8+Costs!R25</f>
        <v>87316.628350000014</v>
      </c>
      <c r="F25" s="15">
        <f>Costs!S8+Costs!S25</f>
        <v>101862.70271</v>
      </c>
      <c r="G25" s="15">
        <f>Costs!T8+Costs!T25</f>
        <v>96502.118929999997</v>
      </c>
      <c r="I25" s="15">
        <f>NYISO!J17</f>
        <v>66330</v>
      </c>
      <c r="K25" s="15">
        <f>NYISO!K17</f>
        <v>0</v>
      </c>
      <c r="O25" s="64">
        <f t="shared" si="0"/>
        <v>33608.541769999996</v>
      </c>
      <c r="P25" s="64">
        <f t="shared" si="1"/>
        <v>32605.628350000014</v>
      </c>
      <c r="Q25" s="64">
        <f t="shared" si="2"/>
        <v>47151.702709999998</v>
      </c>
      <c r="R25" s="64">
        <f t="shared" si="3"/>
        <v>41791.118929999997</v>
      </c>
    </row>
    <row r="26" spans="2:18" x14ac:dyDescent="0.3">
      <c r="B26" s="11" t="s">
        <v>20</v>
      </c>
      <c r="C26" s="15">
        <f>Costs!P9+Costs!P26</f>
        <v>9231.7388499999997</v>
      </c>
      <c r="D26" s="15">
        <f>Costs!Q9+Costs!Q26</f>
        <v>33055.340080000002</v>
      </c>
      <c r="E26" s="15">
        <f>Costs!R9+Costs!R26</f>
        <v>37246.543139999994</v>
      </c>
      <c r="F26" s="15">
        <f>Costs!S9+Costs!S26</f>
        <v>34516.761230000004</v>
      </c>
      <c r="G26" s="15">
        <f>Costs!T9+Costs!T26</f>
        <v>34792.395069999999</v>
      </c>
      <c r="I26" s="15">
        <f>NYISO!J18</f>
        <v>6301.9080000000004</v>
      </c>
      <c r="K26" s="15">
        <f>NYISO!K18</f>
        <v>0</v>
      </c>
    </row>
    <row r="27" spans="2:18" x14ac:dyDescent="0.3">
      <c r="B27" s="11" t="s">
        <v>21</v>
      </c>
      <c r="C27" s="15">
        <f>Costs!P10+Costs!P27</f>
        <v>7386.5391</v>
      </c>
      <c r="D27" s="15">
        <f>Costs!Q10+Costs!Q27</f>
        <v>19246.375680000005</v>
      </c>
      <c r="E27" s="15">
        <f>Costs!R10+Costs!R27</f>
        <v>19246.375680000005</v>
      </c>
      <c r="F27" s="15">
        <f>Costs!S10+Costs!S27</f>
        <v>19246.362110000002</v>
      </c>
      <c r="G27" s="15">
        <f>Costs!T10+Costs!T27</f>
        <v>19246.375680000005</v>
      </c>
      <c r="I27" s="15">
        <f>NYISO!J19</f>
        <v>12324.273999999999</v>
      </c>
      <c r="K27" s="15">
        <f>NYISO!K19</f>
        <v>0</v>
      </c>
      <c r="O27" s="64">
        <f t="shared" si="0"/>
        <v>11859.836580000005</v>
      </c>
      <c r="P27" s="64">
        <f t="shared" si="1"/>
        <v>11859.836580000005</v>
      </c>
      <c r="Q27" s="64">
        <f t="shared" si="2"/>
        <v>11859.823010000002</v>
      </c>
      <c r="R27" s="64">
        <f t="shared" si="3"/>
        <v>11859.836580000005</v>
      </c>
    </row>
    <row r="28" spans="2:18" x14ac:dyDescent="0.3">
      <c r="B28" s="11" t="s">
        <v>22</v>
      </c>
      <c r="C28" s="15">
        <f>Costs!P11+Costs!P28</f>
        <v>5530.9487799999997</v>
      </c>
      <c r="D28" s="15">
        <f>Costs!Q11+Costs!Q28</f>
        <v>12675.71506</v>
      </c>
      <c r="E28" s="15">
        <f>Costs!R11+Costs!R28</f>
        <v>13266.880969999998</v>
      </c>
      <c r="F28" s="15">
        <f>Costs!S11+Costs!S28</f>
        <v>15287.461520000001</v>
      </c>
      <c r="G28" s="15">
        <f>Costs!T11+Costs!T28</f>
        <v>14424.351090000004</v>
      </c>
      <c r="I28" s="15">
        <f>NYISO!J20</f>
        <v>13269.445</v>
      </c>
      <c r="K28" s="15">
        <f>NYISO!K20</f>
        <v>0</v>
      </c>
      <c r="O28" s="64">
        <f t="shared" si="0"/>
        <v>7144.7662800000007</v>
      </c>
      <c r="P28" s="64">
        <f t="shared" si="1"/>
        <v>7735.9321899999986</v>
      </c>
      <c r="Q28" s="64">
        <f t="shared" si="2"/>
        <v>9756.5127400000019</v>
      </c>
      <c r="R28" s="64">
        <f t="shared" si="3"/>
        <v>8893.4023100000049</v>
      </c>
    </row>
    <row r="29" spans="2:18" x14ac:dyDescent="0.3">
      <c r="B29" s="11" t="s">
        <v>23</v>
      </c>
      <c r="C29" s="15">
        <f>Costs!P12+Costs!P29</f>
        <v>0</v>
      </c>
      <c r="D29" s="15">
        <f>Costs!Q12+Costs!Q29</f>
        <v>0</v>
      </c>
      <c r="E29" s="15">
        <f>Costs!R12+Costs!R29</f>
        <v>0</v>
      </c>
      <c r="F29" s="15">
        <f>Costs!S12+Costs!S29</f>
        <v>0</v>
      </c>
      <c r="G29" s="15">
        <f>Costs!T12+Costs!T29</f>
        <v>0</v>
      </c>
      <c r="I29" s="15"/>
      <c r="K29" s="15"/>
      <c r="O29" s="64"/>
      <c r="P29" s="64"/>
      <c r="Q29" s="64"/>
      <c r="R29" s="64"/>
    </row>
    <row r="30" spans="2:18" x14ac:dyDescent="0.3">
      <c r="B30" s="11" t="s">
        <v>24</v>
      </c>
      <c r="C30" s="15">
        <f>Costs!P13+Costs!P30</f>
        <v>0</v>
      </c>
      <c r="D30" s="15">
        <f>Costs!Q13+Costs!Q30</f>
        <v>0</v>
      </c>
      <c r="E30" s="15">
        <f>Costs!R13+Costs!R30</f>
        <v>0</v>
      </c>
      <c r="F30" s="15">
        <f>Costs!S13+Costs!S30</f>
        <v>0</v>
      </c>
      <c r="G30" s="15">
        <f>Costs!T13+Costs!T30</f>
        <v>0</v>
      </c>
      <c r="I30" s="15"/>
      <c r="K30" s="15"/>
      <c r="O30" s="64"/>
      <c r="P30" s="64"/>
      <c r="Q30" s="64"/>
      <c r="R30" s="64"/>
    </row>
    <row r="31" spans="2:18" x14ac:dyDescent="0.3">
      <c r="B31" s="11" t="s">
        <v>25</v>
      </c>
      <c r="C31" s="15">
        <f>Costs!P14+Costs!P31</f>
        <v>0</v>
      </c>
      <c r="D31" s="15">
        <f>Costs!Q14+Costs!Q31</f>
        <v>0</v>
      </c>
      <c r="E31" s="15">
        <f>Costs!R14+Costs!R31</f>
        <v>0</v>
      </c>
      <c r="F31" s="15">
        <f>Costs!S14+Costs!S31</f>
        <v>0</v>
      </c>
      <c r="G31" s="15">
        <f>Costs!T14+Costs!T31</f>
        <v>0</v>
      </c>
      <c r="I31" s="15"/>
      <c r="K31" s="15"/>
      <c r="O31" s="64"/>
      <c r="P31" s="64"/>
      <c r="Q31" s="64"/>
      <c r="R31" s="64"/>
    </row>
    <row r="32" spans="2:18" x14ac:dyDescent="0.3">
      <c r="B32" s="11" t="s">
        <v>26</v>
      </c>
      <c r="C32" s="15">
        <f>Costs!P15+Costs!P32</f>
        <v>1413.0625599999992</v>
      </c>
      <c r="D32" s="15">
        <f>Costs!Q15+Costs!Q32</f>
        <v>1426.9035199999998</v>
      </c>
      <c r="E32" s="15">
        <f>Costs!R15+Costs!R32</f>
        <v>1426.9035199999998</v>
      </c>
      <c r="F32" s="15">
        <f>Costs!S15+Costs!S32</f>
        <v>1426.9035199999998</v>
      </c>
      <c r="G32" s="15">
        <f>Costs!T15+Costs!T32</f>
        <v>1426.9035199999998</v>
      </c>
      <c r="I32" s="15">
        <f>NYISO!J15</f>
        <v>5010.0959999999995</v>
      </c>
      <c r="K32" s="15">
        <f>NYISO!P15</f>
        <v>5010.0959999999995</v>
      </c>
    </row>
    <row r="33" spans="2:19" x14ac:dyDescent="0.3">
      <c r="B33" s="11" t="s">
        <v>27</v>
      </c>
      <c r="C33" s="15">
        <f>Costs!P16+Costs!P33</f>
        <v>0</v>
      </c>
      <c r="D33" s="15">
        <f>Costs!Q16+Costs!Q33</f>
        <v>0</v>
      </c>
      <c r="E33" s="15">
        <f>Costs!R16+Costs!R33</f>
        <v>0</v>
      </c>
      <c r="F33" s="15">
        <f>Costs!S16+Costs!S33</f>
        <v>0</v>
      </c>
      <c r="G33" s="15">
        <f>Costs!T16+Costs!T33</f>
        <v>0</v>
      </c>
      <c r="I33" s="15"/>
      <c r="K33" s="15">
        <f>NYISO!P8</f>
        <v>43416</v>
      </c>
      <c r="O33" s="64"/>
      <c r="P33" s="64"/>
      <c r="Q33" s="64"/>
      <c r="R33" s="64"/>
    </row>
    <row r="34" spans="2:19" x14ac:dyDescent="0.3">
      <c r="B34" s="11" t="s">
        <v>28</v>
      </c>
      <c r="C34" s="15">
        <f>Costs!P17+Costs!P34</f>
        <v>0</v>
      </c>
      <c r="D34" s="15">
        <f>Costs!Q17+Costs!Q34</f>
        <v>0</v>
      </c>
      <c r="E34" s="15">
        <f>Costs!R17+Costs!R34</f>
        <v>0</v>
      </c>
      <c r="F34" s="15">
        <f>Costs!S17+Costs!S34</f>
        <v>0</v>
      </c>
      <c r="G34" s="15">
        <f>Costs!T17+Costs!T34</f>
        <v>0</v>
      </c>
      <c r="I34" s="15"/>
      <c r="K34" s="15">
        <f>NYISO!P10+NYISO!P11</f>
        <v>33628.5</v>
      </c>
      <c r="O34" s="64"/>
      <c r="P34" s="64"/>
      <c r="Q34" s="64"/>
      <c r="R34" s="64"/>
    </row>
    <row r="35" spans="2:19" x14ac:dyDescent="0.3">
      <c r="B35" s="11" t="s">
        <v>29</v>
      </c>
      <c r="C35" s="15">
        <f>Costs!P18+Costs!P35</f>
        <v>0</v>
      </c>
      <c r="D35" s="15">
        <f>Costs!Q18+Costs!Q35</f>
        <v>186030.37711</v>
      </c>
      <c r="E35" s="15">
        <f>Costs!R18+Costs!R35</f>
        <v>30759.22424</v>
      </c>
      <c r="F35" s="15">
        <f>Costs!S18+Costs!S35</f>
        <v>193278.70315999998</v>
      </c>
      <c r="G35" s="15">
        <f>Costs!T18+Costs!T35</f>
        <v>195186.08360000001</v>
      </c>
      <c r="I35" s="15">
        <f>NYISO!J13</f>
        <v>335535.5</v>
      </c>
      <c r="K35" s="15">
        <f>NYISO!K13</f>
        <v>0</v>
      </c>
      <c r="O35" s="64"/>
      <c r="P35" s="64"/>
      <c r="Q35" s="64"/>
      <c r="R35" s="64"/>
    </row>
    <row r="36" spans="2:19" x14ac:dyDescent="0.3">
      <c r="B36" s="11" t="s">
        <v>130</v>
      </c>
      <c r="C36" s="15">
        <f>Costs!P19+Costs!P36</f>
        <v>0</v>
      </c>
      <c r="D36" s="15">
        <f>Costs!Q19+Costs!Q36</f>
        <v>23276.260548623552</v>
      </c>
      <c r="E36" s="15">
        <f>Costs!R19+Costs!R36</f>
        <v>21720.126962469942</v>
      </c>
      <c r="F36" s="15">
        <f>Costs!S19+Costs!S36</f>
        <v>24310.416964702628</v>
      </c>
      <c r="G36" s="15">
        <f>Costs!T19+Costs!T36</f>
        <v>24470.294694068281</v>
      </c>
      <c r="I36" s="15">
        <f>NYISO!J14</f>
        <v>46250.749170036659</v>
      </c>
      <c r="K36" s="15">
        <f>NYISO!K14</f>
        <v>0</v>
      </c>
      <c r="O36" s="64"/>
      <c r="P36" s="64"/>
      <c r="Q36" s="64"/>
      <c r="R36" s="64"/>
    </row>
    <row r="37" spans="2:19" x14ac:dyDescent="0.3">
      <c r="B37" s="11" t="s">
        <v>31</v>
      </c>
      <c r="C37" s="15">
        <f>Costs!P20+Costs!P37</f>
        <v>0</v>
      </c>
      <c r="D37" s="15">
        <f>Costs!Q20+Costs!Q37</f>
        <v>0</v>
      </c>
      <c r="E37" s="15">
        <f>Costs!R20+Costs!R37</f>
        <v>0</v>
      </c>
      <c r="F37" s="15">
        <f>Costs!S20+Costs!S37</f>
        <v>0</v>
      </c>
      <c r="G37" s="15">
        <f>Costs!T20+Costs!T37</f>
        <v>0</v>
      </c>
      <c r="I37" s="15"/>
      <c r="K37" s="15"/>
      <c r="O37" s="64"/>
      <c r="P37" s="64"/>
      <c r="Q37" s="64"/>
      <c r="R37" s="64"/>
    </row>
    <row r="38" spans="2:19" x14ac:dyDescent="0.3">
      <c r="B38" s="62" t="s">
        <v>1</v>
      </c>
      <c r="C38" s="63">
        <f>SUM(C23:C37)</f>
        <v>82538.211850000007</v>
      </c>
      <c r="D38" s="63">
        <f t="shared" ref="D38:K38" si="4">SUM(D23:D37)</f>
        <v>373765.77614862355</v>
      </c>
      <c r="E38" s="63">
        <f t="shared" si="4"/>
        <v>219943.61417246994</v>
      </c>
      <c r="F38" s="63">
        <f t="shared" si="4"/>
        <v>399529.92616470263</v>
      </c>
      <c r="G38" s="63">
        <f t="shared" si="4"/>
        <v>396006.36494406825</v>
      </c>
      <c r="I38" s="15">
        <f t="shared" si="4"/>
        <v>524031.63417003665</v>
      </c>
      <c r="K38" s="15">
        <f t="shared" si="4"/>
        <v>82054.59599999999</v>
      </c>
      <c r="O38" s="64">
        <f>SUM(O25:O37)</f>
        <v>52613.144630000003</v>
      </c>
      <c r="P38" s="64">
        <f t="shared" ref="P38:R38" si="5">SUM(P25:P37)</f>
        <v>52201.397120000016</v>
      </c>
      <c r="Q38" s="64">
        <f t="shared" si="5"/>
        <v>68768.038459999996</v>
      </c>
      <c r="R38" s="64">
        <f t="shared" si="5"/>
        <v>62544.357820000005</v>
      </c>
      <c r="S38" s="64">
        <f>AVERAGE(P38:R38)</f>
        <v>61171.264466666675</v>
      </c>
    </row>
    <row r="40" spans="2:19" x14ac:dyDescent="0.3">
      <c r="B40" s="87" t="s">
        <v>217</v>
      </c>
      <c r="P40" s="59">
        <v>52.201397120000017</v>
      </c>
      <c r="Q40" s="59">
        <v>68.76803846</v>
      </c>
      <c r="R40" s="59">
        <v>62.544357820000002</v>
      </c>
    </row>
    <row r="42" spans="2:19" x14ac:dyDescent="0.3">
      <c r="B42" s="86" t="s">
        <v>1</v>
      </c>
      <c r="C42" s="84">
        <f>C38</f>
        <v>82538.211850000007</v>
      </c>
      <c r="D42" s="85"/>
      <c r="E42" s="84">
        <f>E38</f>
        <v>219943.61417246994</v>
      </c>
      <c r="F42" s="84">
        <f>F38</f>
        <v>399529.92616470263</v>
      </c>
      <c r="G42" s="84">
        <f>G38</f>
        <v>396006.36494406825</v>
      </c>
    </row>
    <row r="43" spans="2:19" x14ac:dyDescent="0.3">
      <c r="B43" s="1">
        <v>2040</v>
      </c>
      <c r="C43" s="84">
        <f>Retirement!I37</f>
        <v>8706.8048000000017</v>
      </c>
      <c r="D43" s="85"/>
      <c r="E43" s="84">
        <f>Retirement!I10</f>
        <v>27927.907729999992</v>
      </c>
      <c r="F43" s="84">
        <f>Retirement!I19</f>
        <v>25698.166750000008</v>
      </c>
      <c r="G43" s="84">
        <f>Retirement!I28</f>
        <v>24323.59504</v>
      </c>
    </row>
    <row r="44" spans="2:19" x14ac:dyDescent="0.3">
      <c r="B44" s="1">
        <v>2050</v>
      </c>
      <c r="C44" s="84">
        <f>Retirement!L37</f>
        <v>72268.377609999996</v>
      </c>
      <c r="D44" s="85"/>
      <c r="E44" s="84">
        <f>Retirement!L10</f>
        <v>278561.00967246993</v>
      </c>
      <c r="F44" s="84">
        <f>Retirement!L19</f>
        <v>304427.54244470265</v>
      </c>
      <c r="G44" s="84">
        <f>Retirement!L28</f>
        <v>246152.32522406828</v>
      </c>
    </row>
    <row r="45" spans="2:19" x14ac:dyDescent="0.3">
      <c r="B45">
        <v>2040</v>
      </c>
      <c r="C45" s="83">
        <f>C43/C$38</f>
        <v>0.10548816850822049</v>
      </c>
      <c r="E45" s="83">
        <f>E43/E38</f>
        <v>0.12697757939041673</v>
      </c>
      <c r="F45" s="83">
        <f>F43/F38</f>
        <v>6.4321005929869113E-2</v>
      </c>
      <c r="G45" s="83">
        <f>G43/G38</f>
        <v>6.1422232552841551E-2</v>
      </c>
    </row>
    <row r="46" spans="2:19" x14ac:dyDescent="0.3">
      <c r="B46">
        <v>2050</v>
      </c>
      <c r="C46" s="83">
        <f>C44/C$38</f>
        <v>0.87557479124137327</v>
      </c>
      <c r="E46" s="83">
        <f>E44/E$38</f>
        <v>1.266511013381979</v>
      </c>
      <c r="F46" s="83">
        <f>F44/F$38</f>
        <v>0.76196430481957222</v>
      </c>
      <c r="G46" s="83">
        <f>G44/G$38</f>
        <v>0.62158679004776785</v>
      </c>
    </row>
    <row r="48" spans="2:19" x14ac:dyDescent="0.3">
      <c r="I48">
        <f>(I38-F38)/F38</f>
        <v>0.31162048160069317</v>
      </c>
    </row>
  </sheetData>
  <mergeCells count="3">
    <mergeCell ref="C21:G21"/>
    <mergeCell ref="C3:G3"/>
    <mergeCell ref="N21:R2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1A41B8-2F2A-46DB-9366-C89BB6760527}">
  <dimension ref="D1:E14"/>
  <sheetViews>
    <sheetView workbookViewId="0">
      <selection activeCell="B1" sqref="B1"/>
    </sheetView>
  </sheetViews>
  <sheetFormatPr defaultRowHeight="14.4" x14ac:dyDescent="0.3"/>
  <sheetData>
    <row r="1" spans="4:5" x14ac:dyDescent="0.3">
      <c r="E1" t="s">
        <v>169</v>
      </c>
    </row>
    <row r="3" spans="4:5" x14ac:dyDescent="0.3">
      <c r="E3">
        <f>SUM(E4:E14)</f>
        <v>3091</v>
      </c>
    </row>
    <row r="4" spans="4:5" x14ac:dyDescent="0.3">
      <c r="D4">
        <v>2011</v>
      </c>
      <c r="E4">
        <v>549</v>
      </c>
    </row>
    <row r="5" spans="4:5" x14ac:dyDescent="0.3">
      <c r="D5">
        <v>2012</v>
      </c>
      <c r="E5">
        <v>494</v>
      </c>
    </row>
    <row r="6" spans="4:5" x14ac:dyDescent="0.3">
      <c r="D6">
        <v>2013</v>
      </c>
    </row>
    <row r="7" spans="4:5" x14ac:dyDescent="0.3">
      <c r="D7">
        <v>2014</v>
      </c>
      <c r="E7">
        <v>167</v>
      </c>
    </row>
    <row r="8" spans="4:5" x14ac:dyDescent="0.3">
      <c r="D8">
        <v>2015</v>
      </c>
    </row>
    <row r="9" spans="4:5" x14ac:dyDescent="0.3">
      <c r="D9">
        <v>2016</v>
      </c>
    </row>
    <row r="10" spans="4:5" x14ac:dyDescent="0.3">
      <c r="D10">
        <v>2017</v>
      </c>
      <c r="E10">
        <v>104</v>
      </c>
    </row>
    <row r="11" spans="4:5" x14ac:dyDescent="0.3">
      <c r="D11">
        <v>2018</v>
      </c>
      <c r="E11">
        <v>744</v>
      </c>
    </row>
    <row r="12" spans="4:5" x14ac:dyDescent="0.3">
      <c r="D12">
        <v>2019</v>
      </c>
      <c r="E12">
        <v>1020</v>
      </c>
    </row>
    <row r="13" spans="4:5" x14ac:dyDescent="0.3">
      <c r="D13">
        <v>2020</v>
      </c>
    </row>
    <row r="14" spans="4:5" x14ac:dyDescent="0.3">
      <c r="D14">
        <v>2021</v>
      </c>
      <c r="E14">
        <v>13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4342DB-E813-421F-BAC1-BA944F82A3F7}">
  <dimension ref="B1:L111"/>
  <sheetViews>
    <sheetView zoomScaleNormal="100" workbookViewId="0">
      <selection activeCell="B1" sqref="B1"/>
    </sheetView>
  </sheetViews>
  <sheetFormatPr defaultRowHeight="14.4" x14ac:dyDescent="0.3"/>
  <cols>
    <col min="2" max="2" width="22.33203125" style="67" bestFit="1" customWidth="1"/>
    <col min="3" max="3" width="6.5546875" style="67" bestFit="1" customWidth="1"/>
    <col min="4" max="5" width="7.5546875" style="67" bestFit="1" customWidth="1"/>
    <col min="6" max="6" width="8" style="67" bestFit="1" customWidth="1"/>
    <col min="7" max="7" width="8.88671875" style="67"/>
    <col min="8" max="8" width="11" style="67" bestFit="1" customWidth="1"/>
    <col min="9" max="9" width="16.21875" style="67" bestFit="1" customWidth="1"/>
    <col min="12" max="12" width="9.5546875" bestFit="1" customWidth="1"/>
  </cols>
  <sheetData>
    <row r="1" spans="2:12" x14ac:dyDescent="0.3">
      <c r="B1" s="66" t="s">
        <v>217</v>
      </c>
    </row>
    <row r="3" spans="2:12" x14ac:dyDescent="0.3">
      <c r="C3" s="117" t="s">
        <v>220</v>
      </c>
      <c r="D3" s="118"/>
      <c r="E3" s="118"/>
      <c r="F3" s="118"/>
      <c r="G3" s="119"/>
      <c r="H3" s="30" t="s">
        <v>204</v>
      </c>
      <c r="I3" s="80" t="s">
        <v>218</v>
      </c>
    </row>
    <row r="4" spans="2:12" x14ac:dyDescent="0.3">
      <c r="B4" s="78" t="s">
        <v>34</v>
      </c>
      <c r="C4" s="79">
        <v>2025</v>
      </c>
      <c r="D4" s="79">
        <v>2030</v>
      </c>
      <c r="E4" s="79">
        <v>2035</v>
      </c>
      <c r="F4" s="79">
        <v>2040</v>
      </c>
      <c r="G4" s="79" t="s">
        <v>1</v>
      </c>
      <c r="H4" s="32" t="s">
        <v>16</v>
      </c>
      <c r="I4" s="81" t="s">
        <v>219</v>
      </c>
    </row>
    <row r="5" spans="2:12" x14ac:dyDescent="0.3">
      <c r="B5" s="71" t="s">
        <v>29</v>
      </c>
      <c r="C5" s="72">
        <v>0</v>
      </c>
      <c r="D5" s="72">
        <v>0</v>
      </c>
      <c r="E5" s="72">
        <v>0</v>
      </c>
      <c r="F5" s="72">
        <v>0</v>
      </c>
      <c r="G5" s="72">
        <f>SUM(C5:F5)</f>
        <v>0</v>
      </c>
      <c r="H5" s="74">
        <f>Costs!N18+Costs!N19</f>
        <v>8531.5362943024957</v>
      </c>
      <c r="I5" s="74">
        <f t="shared" ref="I5" si="0">G5*H5/1000</f>
        <v>0</v>
      </c>
      <c r="K5" s="65">
        <v>21015.35</v>
      </c>
      <c r="L5" s="74">
        <f>H5*K5/1000</f>
        <v>179293.22126246995</v>
      </c>
    </row>
    <row r="6" spans="2:12" x14ac:dyDescent="0.3">
      <c r="B6" s="71" t="s">
        <v>17</v>
      </c>
      <c r="C6" s="72"/>
      <c r="D6" s="72"/>
      <c r="E6" s="72"/>
      <c r="F6" s="72">
        <v>1916.9</v>
      </c>
      <c r="G6" s="72">
        <f t="shared" ref="G6:G9" si="1">SUM(C6:F6)</f>
        <v>1916.9</v>
      </c>
      <c r="H6" s="74">
        <v>2281</v>
      </c>
      <c r="I6" s="74">
        <f>G6*H6/1000</f>
        <v>4372.4489000000003</v>
      </c>
      <c r="K6" s="65">
        <v>3814.0800000000004</v>
      </c>
      <c r="L6" s="74">
        <f t="shared" ref="L6:L9" si="2">H6*K6/1000</f>
        <v>8699.9164799999999</v>
      </c>
    </row>
    <row r="7" spans="2:12" x14ac:dyDescent="0.3">
      <c r="B7" s="71" t="s">
        <v>19</v>
      </c>
      <c r="C7" s="72"/>
      <c r="D7" s="72"/>
      <c r="E7" s="72"/>
      <c r="F7" s="72">
        <v>0</v>
      </c>
      <c r="G7" s="72">
        <f t="shared" si="1"/>
        <v>0</v>
      </c>
      <c r="H7" s="37">
        <v>7370</v>
      </c>
      <c r="I7" s="74">
        <f t="shared" ref="I7" si="3">G7*H7/1000</f>
        <v>0</v>
      </c>
      <c r="K7" s="65">
        <v>6200</v>
      </c>
      <c r="L7" s="74">
        <f t="shared" si="2"/>
        <v>45694</v>
      </c>
    </row>
    <row r="8" spans="2:12" x14ac:dyDescent="0.3">
      <c r="B8" s="71" t="s">
        <v>20</v>
      </c>
      <c r="C8" s="73"/>
      <c r="D8" s="72"/>
      <c r="E8" s="72"/>
      <c r="F8" s="72">
        <v>14438.009999999995</v>
      </c>
      <c r="G8" s="72">
        <f t="shared" si="1"/>
        <v>14438.009999999995</v>
      </c>
      <c r="H8" s="74">
        <v>1357</v>
      </c>
      <c r="I8" s="74">
        <f t="shared" ref="I8:I9" si="4">G8*H8/1000</f>
        <v>19592.379569999994</v>
      </c>
      <c r="K8" s="65">
        <v>22639.479999999996</v>
      </c>
      <c r="L8" s="74">
        <f t="shared" si="2"/>
        <v>30721.774359999996</v>
      </c>
    </row>
    <row r="9" spans="2:12" x14ac:dyDescent="0.3">
      <c r="B9" s="71" t="s">
        <v>22</v>
      </c>
      <c r="C9" s="72"/>
      <c r="D9" s="72">
        <v>750</v>
      </c>
      <c r="E9" s="72">
        <v>750.01</v>
      </c>
      <c r="F9" s="72">
        <v>1500.0499999999995</v>
      </c>
      <c r="G9" s="72">
        <f t="shared" si="1"/>
        <v>3000.0599999999995</v>
      </c>
      <c r="H9" s="74">
        <v>1321</v>
      </c>
      <c r="I9" s="74">
        <f t="shared" si="4"/>
        <v>3963.0792599999995</v>
      </c>
      <c r="K9" s="65">
        <v>10713.169999999998</v>
      </c>
      <c r="L9" s="74">
        <f t="shared" si="2"/>
        <v>14152.097569999998</v>
      </c>
    </row>
    <row r="10" spans="2:12" x14ac:dyDescent="0.3">
      <c r="B10" s="75"/>
      <c r="C10" s="76"/>
      <c r="D10" s="76"/>
      <c r="E10" s="76"/>
      <c r="F10" s="76"/>
      <c r="G10" s="76"/>
      <c r="H10" s="82" t="s">
        <v>221</v>
      </c>
      <c r="I10" s="74">
        <f>SUM(I5:I9)</f>
        <v>27927.907729999992</v>
      </c>
      <c r="L10" s="64">
        <f>SUM(L5:L9)</f>
        <v>278561.00967246993</v>
      </c>
    </row>
    <row r="11" spans="2:12" x14ac:dyDescent="0.3">
      <c r="B11" s="75"/>
      <c r="C11" s="76"/>
      <c r="D11" s="76"/>
      <c r="E11" s="76"/>
      <c r="F11" s="76"/>
      <c r="G11" s="76"/>
      <c r="H11" s="77"/>
      <c r="I11" s="70"/>
    </row>
    <row r="12" spans="2:12" x14ac:dyDescent="0.3">
      <c r="C12" s="117" t="s">
        <v>220</v>
      </c>
      <c r="D12" s="118"/>
      <c r="E12" s="118"/>
      <c r="F12" s="118"/>
      <c r="G12" s="119"/>
      <c r="H12" s="30" t="s">
        <v>204</v>
      </c>
      <c r="I12" s="80" t="s">
        <v>218</v>
      </c>
    </row>
    <row r="13" spans="2:12" x14ac:dyDescent="0.3">
      <c r="B13" s="68" t="s">
        <v>35</v>
      </c>
      <c r="C13" s="69">
        <v>2025</v>
      </c>
      <c r="D13" s="69">
        <v>2030</v>
      </c>
      <c r="E13" s="69">
        <v>2035</v>
      </c>
      <c r="F13" s="69">
        <v>2040</v>
      </c>
      <c r="G13" s="69" t="s">
        <v>1</v>
      </c>
      <c r="H13" s="32" t="s">
        <v>16</v>
      </c>
      <c r="I13" s="81" t="s">
        <v>219</v>
      </c>
    </row>
    <row r="14" spans="2:12" x14ac:dyDescent="0.3">
      <c r="B14" s="71" t="s">
        <v>29</v>
      </c>
      <c r="C14" s="72">
        <v>0</v>
      </c>
      <c r="D14" s="72">
        <v>0</v>
      </c>
      <c r="E14" s="72">
        <v>0</v>
      </c>
      <c r="F14" s="72">
        <v>0</v>
      </c>
      <c r="G14" s="72">
        <f>SUM(C14:F14)</f>
        <v>0</v>
      </c>
      <c r="H14" s="74">
        <f>H5</f>
        <v>8531.5362943024957</v>
      </c>
      <c r="I14" s="74">
        <f t="shared" ref="I14" si="5">G14*H14/1000</f>
        <v>0</v>
      </c>
      <c r="K14">
        <v>23521.589999999997</v>
      </c>
      <c r="L14" s="74">
        <f>H14*K14/1000</f>
        <v>200675.29878470261</v>
      </c>
    </row>
    <row r="15" spans="2:12" x14ac:dyDescent="0.3">
      <c r="B15" s="71" t="s">
        <v>17</v>
      </c>
      <c r="C15" s="72"/>
      <c r="D15" s="72"/>
      <c r="E15" s="72"/>
      <c r="F15" s="72">
        <v>1916.9</v>
      </c>
      <c r="G15" s="72">
        <f t="shared" ref="G15:G18" si="6">SUM(C15:F15)</f>
        <v>1916.9</v>
      </c>
      <c r="H15" s="74">
        <f t="shared" ref="H15:H18" si="7">H6</f>
        <v>2281</v>
      </c>
      <c r="I15" s="74">
        <f>G15*H15/1000</f>
        <v>4372.4489000000003</v>
      </c>
      <c r="K15">
        <v>4600.0600000000013</v>
      </c>
      <c r="L15" s="74">
        <f t="shared" ref="L15:L18" si="8">H15*K15/1000</f>
        <v>10492.736860000003</v>
      </c>
    </row>
    <row r="16" spans="2:12" x14ac:dyDescent="0.3">
      <c r="B16" s="71" t="s">
        <v>19</v>
      </c>
      <c r="C16" s="72"/>
      <c r="D16" s="72"/>
      <c r="E16" s="72"/>
      <c r="F16" s="72">
        <v>0</v>
      </c>
      <c r="G16" s="72">
        <f t="shared" si="6"/>
        <v>0</v>
      </c>
      <c r="H16" s="74">
        <f t="shared" si="7"/>
        <v>7370</v>
      </c>
      <c r="I16" s="74">
        <f t="shared" ref="I16:I18" si="9">G16*H16/1000</f>
        <v>0</v>
      </c>
      <c r="K16">
        <v>6600</v>
      </c>
      <c r="L16" s="74">
        <f t="shared" si="8"/>
        <v>48642</v>
      </c>
    </row>
    <row r="17" spans="2:12" x14ac:dyDescent="0.3">
      <c r="B17" s="71" t="s">
        <v>20</v>
      </c>
      <c r="C17" s="73"/>
      <c r="D17" s="72"/>
      <c r="E17" s="72"/>
      <c r="F17" s="72">
        <v>12794.870000000006</v>
      </c>
      <c r="G17" s="72">
        <f t="shared" si="6"/>
        <v>12794.870000000006</v>
      </c>
      <c r="H17" s="74">
        <f t="shared" si="7"/>
        <v>1357</v>
      </c>
      <c r="I17" s="74">
        <f t="shared" si="9"/>
        <v>17362.638590000006</v>
      </c>
      <c r="K17">
        <v>20996.340000000007</v>
      </c>
      <c r="L17" s="74">
        <f t="shared" si="8"/>
        <v>28492.033380000012</v>
      </c>
    </row>
    <row r="18" spans="2:12" x14ac:dyDescent="0.3">
      <c r="B18" s="71" t="s">
        <v>22</v>
      </c>
      <c r="C18" s="72"/>
      <c r="D18" s="72">
        <v>750.02</v>
      </c>
      <c r="E18" s="72">
        <v>750</v>
      </c>
      <c r="F18" s="72">
        <v>1500.0400000000004</v>
      </c>
      <c r="G18" s="72">
        <f t="shared" si="6"/>
        <v>3000.0600000000004</v>
      </c>
      <c r="H18" s="74">
        <f t="shared" si="7"/>
        <v>1321</v>
      </c>
      <c r="I18" s="74">
        <f t="shared" si="9"/>
        <v>3963.0792600000009</v>
      </c>
      <c r="K18">
        <v>12207.02</v>
      </c>
      <c r="L18" s="74">
        <f t="shared" si="8"/>
        <v>16125.47342</v>
      </c>
    </row>
    <row r="19" spans="2:12" x14ac:dyDescent="0.3">
      <c r="B19" s="75"/>
      <c r="C19" s="76"/>
      <c r="D19" s="76"/>
      <c r="E19" s="76"/>
      <c r="F19" s="76"/>
      <c r="G19" s="76"/>
      <c r="H19" s="82" t="s">
        <v>221</v>
      </c>
      <c r="I19" s="74">
        <f>SUM(I14:I18)</f>
        <v>25698.166750000008</v>
      </c>
      <c r="L19" s="64">
        <f>SUM(L14:L18)</f>
        <v>304427.54244470265</v>
      </c>
    </row>
    <row r="21" spans="2:12" x14ac:dyDescent="0.3">
      <c r="C21" s="117" t="s">
        <v>220</v>
      </c>
      <c r="D21" s="118"/>
      <c r="E21" s="118"/>
      <c r="F21" s="118"/>
      <c r="G21" s="119"/>
      <c r="H21" s="30" t="s">
        <v>204</v>
      </c>
      <c r="I21" s="80" t="s">
        <v>218</v>
      </c>
    </row>
    <row r="22" spans="2:12" x14ac:dyDescent="0.3">
      <c r="B22" s="68" t="s">
        <v>36</v>
      </c>
      <c r="C22" s="69">
        <v>2025</v>
      </c>
      <c r="D22" s="69">
        <v>2030</v>
      </c>
      <c r="E22" s="69">
        <v>2035</v>
      </c>
      <c r="F22" s="69">
        <v>2040</v>
      </c>
      <c r="G22" s="69" t="s">
        <v>1</v>
      </c>
      <c r="H22" s="32" t="s">
        <v>16</v>
      </c>
      <c r="I22" s="81" t="s">
        <v>219</v>
      </c>
    </row>
    <row r="23" spans="2:12" x14ac:dyDescent="0.3">
      <c r="B23" s="71" t="s">
        <v>29</v>
      </c>
      <c r="C23" s="72">
        <v>0</v>
      </c>
      <c r="D23" s="72">
        <v>0</v>
      </c>
      <c r="E23" s="72">
        <v>0</v>
      </c>
      <c r="F23" s="72">
        <v>0</v>
      </c>
      <c r="G23" s="72">
        <f>SUM(C23:F23)</f>
        <v>0</v>
      </c>
      <c r="H23" s="74">
        <f>H14</f>
        <v>8531.5362943024957</v>
      </c>
      <c r="I23" s="74">
        <f t="shared" ref="I23" si="10">G23*H23/1000</f>
        <v>0</v>
      </c>
      <c r="K23">
        <v>23676.28</v>
      </c>
      <c r="L23" s="74">
        <f>H23*K23/1000</f>
        <v>201995.04213406827</v>
      </c>
    </row>
    <row r="24" spans="2:12" x14ac:dyDescent="0.3">
      <c r="B24" s="71" t="s">
        <v>17</v>
      </c>
      <c r="C24" s="72"/>
      <c r="D24" s="72"/>
      <c r="E24" s="72"/>
      <c r="F24" s="72">
        <v>1916.9</v>
      </c>
      <c r="G24" s="72">
        <f t="shared" ref="G24:G27" si="11">SUM(C24:F24)</f>
        <v>1916.9</v>
      </c>
      <c r="H24" s="74">
        <f t="shared" ref="H24:H27" si="12">H15</f>
        <v>2281</v>
      </c>
      <c r="I24" s="74">
        <f>G24*H24/1000</f>
        <v>4372.4489000000003</v>
      </c>
      <c r="K24">
        <v>3859.2599999999993</v>
      </c>
      <c r="L24" s="74">
        <f t="shared" ref="L24:L27" si="13">H24*K24/1000</f>
        <v>8802.9720599999982</v>
      </c>
    </row>
    <row r="25" spans="2:12" x14ac:dyDescent="0.3">
      <c r="B25" s="71" t="s">
        <v>19</v>
      </c>
      <c r="C25" s="72"/>
      <c r="D25" s="72"/>
      <c r="E25" s="72"/>
      <c r="F25" s="72">
        <v>0</v>
      </c>
      <c r="G25" s="72">
        <f t="shared" si="11"/>
        <v>0</v>
      </c>
      <c r="H25" s="74">
        <f t="shared" si="12"/>
        <v>7370</v>
      </c>
      <c r="I25" s="74">
        <f t="shared" ref="I25:I27" si="14">G25*H25/1000</f>
        <v>0</v>
      </c>
      <c r="L25" s="74">
        <f t="shared" si="13"/>
        <v>0</v>
      </c>
    </row>
    <row r="26" spans="2:12" x14ac:dyDescent="0.3">
      <c r="B26" s="71" t="s">
        <v>20</v>
      </c>
      <c r="C26" s="73"/>
      <c r="D26" s="72"/>
      <c r="E26" s="72"/>
      <c r="F26" s="72">
        <v>11781.96</v>
      </c>
      <c r="G26" s="72">
        <f t="shared" si="11"/>
        <v>11781.96</v>
      </c>
      <c r="H26" s="74">
        <f t="shared" si="12"/>
        <v>1357</v>
      </c>
      <c r="I26" s="74">
        <f t="shared" si="14"/>
        <v>15988.119719999999</v>
      </c>
      <c r="K26">
        <v>6600</v>
      </c>
      <c r="L26" s="74">
        <f t="shared" si="13"/>
        <v>8956.2000000000007</v>
      </c>
    </row>
    <row r="27" spans="2:12" x14ac:dyDescent="0.3">
      <c r="B27" s="71" t="s">
        <v>22</v>
      </c>
      <c r="C27" s="72"/>
      <c r="D27" s="72">
        <v>750</v>
      </c>
      <c r="E27" s="72">
        <v>750</v>
      </c>
      <c r="F27" s="72">
        <v>1500.02</v>
      </c>
      <c r="G27" s="72">
        <f t="shared" si="11"/>
        <v>3000.02</v>
      </c>
      <c r="H27" s="74">
        <f t="shared" si="12"/>
        <v>1321</v>
      </c>
      <c r="I27" s="74">
        <f t="shared" si="14"/>
        <v>3963.0264200000001</v>
      </c>
      <c r="K27">
        <v>19983.43</v>
      </c>
      <c r="L27" s="74">
        <f t="shared" si="13"/>
        <v>26398.11103</v>
      </c>
    </row>
    <row r="28" spans="2:12" x14ac:dyDescent="0.3">
      <c r="B28" s="75"/>
      <c r="C28" s="76"/>
      <c r="D28" s="76"/>
      <c r="E28" s="76"/>
      <c r="F28" s="76"/>
      <c r="G28" s="76"/>
      <c r="H28" s="82" t="s">
        <v>221</v>
      </c>
      <c r="I28" s="74">
        <f>SUM(I23:I27)</f>
        <v>24323.59504</v>
      </c>
      <c r="K28">
        <v>11576.19</v>
      </c>
      <c r="L28" s="64">
        <f>SUM(L23:L27)</f>
        <v>246152.32522406828</v>
      </c>
    </row>
    <row r="30" spans="2:12" x14ac:dyDescent="0.3">
      <c r="C30" s="117" t="s">
        <v>220</v>
      </c>
      <c r="D30" s="118"/>
      <c r="E30" s="118"/>
      <c r="F30" s="118"/>
      <c r="G30" s="119"/>
      <c r="H30" s="30" t="s">
        <v>204</v>
      </c>
      <c r="I30" s="80" t="s">
        <v>218</v>
      </c>
    </row>
    <row r="31" spans="2:12" x14ac:dyDescent="0.3">
      <c r="B31" s="68" t="s">
        <v>173</v>
      </c>
      <c r="C31" s="69">
        <v>2025</v>
      </c>
      <c r="D31" s="69">
        <v>2030</v>
      </c>
      <c r="E31" s="69">
        <v>2035</v>
      </c>
      <c r="F31" s="69">
        <v>2040</v>
      </c>
      <c r="G31" s="69" t="s">
        <v>1</v>
      </c>
      <c r="H31" s="32" t="s">
        <v>16</v>
      </c>
      <c r="I31" s="81" t="s">
        <v>219</v>
      </c>
    </row>
    <row r="32" spans="2:12" x14ac:dyDescent="0.3">
      <c r="B32" s="71" t="s">
        <v>29</v>
      </c>
      <c r="C32" s="72">
        <v>0</v>
      </c>
      <c r="D32" s="72">
        <v>0</v>
      </c>
      <c r="E32" s="72">
        <v>0</v>
      </c>
      <c r="F32" s="72">
        <v>0</v>
      </c>
      <c r="G32" s="72">
        <f>SUM(C32:F32)</f>
        <v>0</v>
      </c>
      <c r="H32" s="74">
        <f>H23</f>
        <v>8531.5362943024957</v>
      </c>
      <c r="I32" s="74">
        <f t="shared" ref="I32" si="15">G32*H32/1000</f>
        <v>0</v>
      </c>
      <c r="L32" s="74">
        <f>H32*K32/1000</f>
        <v>0</v>
      </c>
    </row>
    <row r="33" spans="2:12" x14ac:dyDescent="0.3">
      <c r="B33" s="71" t="s">
        <v>17</v>
      </c>
      <c r="C33" s="72"/>
      <c r="D33" s="72"/>
      <c r="E33" s="72"/>
      <c r="F33" s="72">
        <v>1916.9</v>
      </c>
      <c r="G33" s="72">
        <f t="shared" ref="G33:G36" si="16">SUM(C33:F33)</f>
        <v>1916.9</v>
      </c>
      <c r="H33" s="74">
        <f t="shared" ref="H33:H36" si="17">H24</f>
        <v>2281</v>
      </c>
      <c r="I33" s="74">
        <f>G33*H33/1000</f>
        <v>4372.4489000000003</v>
      </c>
      <c r="K33">
        <v>3786.66</v>
      </c>
      <c r="L33" s="74">
        <f t="shared" ref="L33:L36" si="18">H33*K33/1000</f>
        <v>8637.3714599999985</v>
      </c>
    </row>
    <row r="34" spans="2:12" x14ac:dyDescent="0.3">
      <c r="B34" s="71" t="s">
        <v>19</v>
      </c>
      <c r="C34" s="72"/>
      <c r="D34" s="72"/>
      <c r="E34" s="72"/>
      <c r="F34" s="72">
        <v>0</v>
      </c>
      <c r="G34" s="72">
        <f t="shared" si="16"/>
        <v>0</v>
      </c>
      <c r="H34" s="74">
        <f t="shared" si="17"/>
        <v>7370</v>
      </c>
      <c r="I34" s="74">
        <f t="shared" ref="I34:I36" si="19">G34*H34/1000</f>
        <v>0</v>
      </c>
      <c r="K34">
        <v>6200</v>
      </c>
      <c r="L34" s="74">
        <f t="shared" si="18"/>
        <v>45694</v>
      </c>
    </row>
    <row r="35" spans="2:12" x14ac:dyDescent="0.3">
      <c r="B35" s="71" t="s">
        <v>20</v>
      </c>
      <c r="C35" s="73"/>
      <c r="D35" s="72"/>
      <c r="E35" s="72"/>
      <c r="F35" s="72">
        <v>273.64000000000124</v>
      </c>
      <c r="G35" s="72">
        <f t="shared" si="16"/>
        <v>273.64000000000124</v>
      </c>
      <c r="H35" s="74">
        <f t="shared" si="17"/>
        <v>1357</v>
      </c>
      <c r="I35" s="74">
        <f t="shared" si="19"/>
        <v>371.32948000000169</v>
      </c>
      <c r="K35">
        <v>8475.1100000000024</v>
      </c>
      <c r="L35" s="74">
        <f t="shared" si="18"/>
        <v>11500.724270000002</v>
      </c>
    </row>
    <row r="36" spans="2:12" x14ac:dyDescent="0.3">
      <c r="B36" s="71" t="s">
        <v>22</v>
      </c>
      <c r="C36" s="72"/>
      <c r="D36" s="72">
        <v>750</v>
      </c>
      <c r="E36" s="72">
        <v>750.03</v>
      </c>
      <c r="F36" s="72">
        <v>1499.9900000000005</v>
      </c>
      <c r="G36" s="72">
        <f t="shared" si="16"/>
        <v>3000.0200000000004</v>
      </c>
      <c r="H36" s="74">
        <f t="shared" si="17"/>
        <v>1321</v>
      </c>
      <c r="I36" s="74">
        <f t="shared" si="19"/>
        <v>3963.0264200000006</v>
      </c>
      <c r="K36">
        <v>4872.28</v>
      </c>
      <c r="L36" s="74">
        <f t="shared" si="18"/>
        <v>6436.2818799999995</v>
      </c>
    </row>
    <row r="37" spans="2:12" x14ac:dyDescent="0.3">
      <c r="H37" s="82" t="s">
        <v>221</v>
      </c>
      <c r="I37" s="74">
        <f>SUM(I32:I36)</f>
        <v>8706.8048000000017</v>
      </c>
      <c r="L37" s="64">
        <f>SUM(L32:L36)</f>
        <v>72268.377609999996</v>
      </c>
    </row>
    <row r="87" spans="2:7" x14ac:dyDescent="0.3">
      <c r="B87" s="66" t="s">
        <v>216</v>
      </c>
    </row>
    <row r="89" spans="2:7" x14ac:dyDescent="0.3">
      <c r="B89" s="68" t="s">
        <v>34</v>
      </c>
      <c r="C89" s="69">
        <v>2025</v>
      </c>
      <c r="D89" s="69">
        <v>2030</v>
      </c>
      <c r="E89" s="69">
        <v>2035</v>
      </c>
      <c r="F89" s="69">
        <v>2040</v>
      </c>
      <c r="G89" s="69" t="s">
        <v>1</v>
      </c>
    </row>
    <row r="90" spans="2:7" x14ac:dyDescent="0.3">
      <c r="B90" s="71" t="s">
        <v>17</v>
      </c>
      <c r="C90" s="72"/>
      <c r="D90" s="72"/>
      <c r="E90" s="72"/>
      <c r="F90" s="72">
        <v>1916.9</v>
      </c>
      <c r="G90" s="72">
        <v>3814.0800000000004</v>
      </c>
    </row>
    <row r="91" spans="2:7" x14ac:dyDescent="0.3">
      <c r="B91" s="71" t="s">
        <v>19</v>
      </c>
      <c r="C91" s="72"/>
      <c r="D91" s="72"/>
      <c r="E91" s="72"/>
      <c r="F91" s="72">
        <v>0</v>
      </c>
      <c r="G91" s="72">
        <v>6200</v>
      </c>
    </row>
    <row r="92" spans="2:7" x14ac:dyDescent="0.3">
      <c r="B92" s="71" t="s">
        <v>20</v>
      </c>
      <c r="C92" s="73"/>
      <c r="D92" s="72"/>
      <c r="E92" s="72"/>
      <c r="F92" s="72">
        <v>14438.009999999995</v>
      </c>
      <c r="G92" s="72">
        <v>22639.479999999996</v>
      </c>
    </row>
    <row r="93" spans="2:7" x14ac:dyDescent="0.3">
      <c r="B93" s="71" t="s">
        <v>22</v>
      </c>
      <c r="C93" s="72"/>
      <c r="D93" s="72">
        <v>750</v>
      </c>
      <c r="E93" s="72">
        <v>750.01</v>
      </c>
      <c r="F93" s="72">
        <v>1500.0499999999995</v>
      </c>
      <c r="G93" s="72">
        <v>10713.169999999998</v>
      </c>
    </row>
    <row r="95" spans="2:7" x14ac:dyDescent="0.3">
      <c r="B95" s="68" t="s">
        <v>35</v>
      </c>
      <c r="C95" s="69">
        <v>2025</v>
      </c>
      <c r="D95" s="69">
        <v>2030</v>
      </c>
      <c r="E95" s="69">
        <v>2035</v>
      </c>
      <c r="F95" s="69">
        <v>2040</v>
      </c>
      <c r="G95" s="69" t="s">
        <v>1</v>
      </c>
    </row>
    <row r="96" spans="2:7" x14ac:dyDescent="0.3">
      <c r="B96" s="71" t="s">
        <v>17</v>
      </c>
      <c r="C96" s="72"/>
      <c r="D96" s="72"/>
      <c r="E96" s="72"/>
      <c r="F96" s="72">
        <v>1916.9</v>
      </c>
      <c r="G96" s="72">
        <v>4600.0600000000013</v>
      </c>
    </row>
    <row r="97" spans="2:7" x14ac:dyDescent="0.3">
      <c r="B97" s="71" t="s">
        <v>19</v>
      </c>
      <c r="C97" s="72"/>
      <c r="D97" s="72"/>
      <c r="E97" s="72"/>
      <c r="F97" s="72">
        <v>0</v>
      </c>
      <c r="G97" s="72">
        <v>6600</v>
      </c>
    </row>
    <row r="98" spans="2:7" x14ac:dyDescent="0.3">
      <c r="B98" s="71" t="s">
        <v>20</v>
      </c>
      <c r="C98" s="73"/>
      <c r="D98" s="72"/>
      <c r="E98" s="72"/>
      <c r="F98" s="72">
        <v>12794.870000000006</v>
      </c>
      <c r="G98" s="72">
        <v>20996.340000000007</v>
      </c>
    </row>
    <row r="99" spans="2:7" x14ac:dyDescent="0.3">
      <c r="B99" s="71" t="s">
        <v>22</v>
      </c>
      <c r="C99" s="72"/>
      <c r="D99" s="72">
        <v>750.02</v>
      </c>
      <c r="E99" s="72">
        <v>750</v>
      </c>
      <c r="F99" s="72">
        <v>1500.0400000000004</v>
      </c>
      <c r="G99" s="72">
        <v>12207.02</v>
      </c>
    </row>
    <row r="101" spans="2:7" x14ac:dyDescent="0.3">
      <c r="B101" s="68" t="s">
        <v>36</v>
      </c>
      <c r="C101" s="69">
        <v>2025</v>
      </c>
      <c r="D101" s="69">
        <v>2030</v>
      </c>
      <c r="E101" s="69">
        <v>2035</v>
      </c>
      <c r="F101" s="69">
        <v>2040</v>
      </c>
      <c r="G101" s="69" t="s">
        <v>1</v>
      </c>
    </row>
    <row r="102" spans="2:7" x14ac:dyDescent="0.3">
      <c r="B102" s="71" t="s">
        <v>17</v>
      </c>
      <c r="C102" s="72"/>
      <c r="D102" s="72"/>
      <c r="E102" s="72"/>
      <c r="F102" s="72">
        <v>1916.9</v>
      </c>
      <c r="G102" s="72">
        <v>3859.2599999999993</v>
      </c>
    </row>
    <row r="103" spans="2:7" x14ac:dyDescent="0.3">
      <c r="B103" s="71" t="s">
        <v>19</v>
      </c>
      <c r="C103" s="72"/>
      <c r="D103" s="72"/>
      <c r="E103" s="72"/>
      <c r="F103" s="72">
        <v>0</v>
      </c>
      <c r="G103" s="72">
        <v>6600</v>
      </c>
    </row>
    <row r="104" spans="2:7" x14ac:dyDescent="0.3">
      <c r="B104" s="71" t="s">
        <v>20</v>
      </c>
      <c r="C104" s="73"/>
      <c r="D104" s="72"/>
      <c r="E104" s="72"/>
      <c r="F104" s="72">
        <v>11781.96</v>
      </c>
      <c r="G104" s="72">
        <v>19983.43</v>
      </c>
    </row>
    <row r="105" spans="2:7" x14ac:dyDescent="0.3">
      <c r="B105" s="71" t="s">
        <v>22</v>
      </c>
      <c r="C105" s="72"/>
      <c r="D105" s="72">
        <v>750</v>
      </c>
      <c r="E105" s="72">
        <v>750</v>
      </c>
      <c r="F105" s="72">
        <v>1500.02</v>
      </c>
      <c r="G105" s="72">
        <v>11576.19</v>
      </c>
    </row>
    <row r="107" spans="2:7" x14ac:dyDescent="0.3">
      <c r="B107" s="68" t="s">
        <v>173</v>
      </c>
      <c r="C107" s="69">
        <v>2025</v>
      </c>
      <c r="D107" s="69">
        <v>2030</v>
      </c>
      <c r="E107" s="69">
        <v>2035</v>
      </c>
      <c r="F107" s="69">
        <v>2040</v>
      </c>
      <c r="G107" s="69" t="s">
        <v>1</v>
      </c>
    </row>
    <row r="108" spans="2:7" x14ac:dyDescent="0.3">
      <c r="B108" s="71" t="s">
        <v>17</v>
      </c>
      <c r="C108" s="72"/>
      <c r="D108" s="72"/>
      <c r="E108" s="72"/>
      <c r="F108" s="72">
        <v>1916.9</v>
      </c>
      <c r="G108" s="72">
        <v>3786.66</v>
      </c>
    </row>
    <row r="109" spans="2:7" x14ac:dyDescent="0.3">
      <c r="B109" s="71" t="s">
        <v>19</v>
      </c>
      <c r="C109" s="72"/>
      <c r="D109" s="72"/>
      <c r="E109" s="72"/>
      <c r="F109" s="72">
        <v>0</v>
      </c>
      <c r="G109" s="72">
        <v>6200</v>
      </c>
    </row>
    <row r="110" spans="2:7" x14ac:dyDescent="0.3">
      <c r="B110" s="71" t="s">
        <v>20</v>
      </c>
      <c r="C110" s="73"/>
      <c r="D110" s="72"/>
      <c r="E110" s="72"/>
      <c r="F110" s="72">
        <v>273.64000000000124</v>
      </c>
      <c r="G110" s="72">
        <v>8475.1100000000024</v>
      </c>
    </row>
    <row r="111" spans="2:7" x14ac:dyDescent="0.3">
      <c r="B111" s="71" t="s">
        <v>22</v>
      </c>
      <c r="C111" s="72"/>
      <c r="D111" s="72">
        <v>750</v>
      </c>
      <c r="E111" s="72">
        <v>750.03</v>
      </c>
      <c r="F111" s="72">
        <v>1499.9900000000005</v>
      </c>
      <c r="G111" s="72">
        <v>4872.28</v>
      </c>
    </row>
  </sheetData>
  <mergeCells count="4">
    <mergeCell ref="C3:G3"/>
    <mergeCell ref="C12:G12"/>
    <mergeCell ref="C21:G21"/>
    <mergeCell ref="C30:G3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EIA</vt:lpstr>
      <vt:lpstr>Compare Costs</vt:lpstr>
      <vt:lpstr>Costs</vt:lpstr>
      <vt:lpstr>Electrolysis Costs</vt:lpstr>
      <vt:lpstr>NYISO</vt:lpstr>
      <vt:lpstr>Summary</vt:lpstr>
      <vt:lpstr>Sheet5</vt:lpstr>
      <vt:lpstr>Retirement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Roger Caiazza</dc:creator>
  <cp:lastModifiedBy>Roger Caiazza</cp:lastModifiedBy>
  <dcterms:created xsi:type="dcterms:W3CDTF">2022-06-27T00:10:41Z</dcterms:created>
  <dcterms:modified xsi:type="dcterms:W3CDTF">2022-07-01T01:29:47Z</dcterms:modified>
</cp:coreProperties>
</file>