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ger\Documents\5Data\Gold Book\"/>
    </mc:Choice>
  </mc:AlternateContent>
  <xr:revisionPtr revIDLastSave="0" documentId="13_ncr:1_{23DB7510-3832-499D-BAAE-01B756858325}" xr6:coauthVersionLast="47" xr6:coauthVersionMax="47" xr10:uidLastSave="{00000000-0000-0000-0000-000000000000}"/>
  <bookViews>
    <workbookView xWindow="-108" yWindow="-108" windowWidth="23256" windowHeight="12576" firstSheet="2" activeTab="2" xr2:uid="{00000000-000D-0000-FFFF-FFFF00000000}"/>
  </bookViews>
  <sheets>
    <sheet name="NY projects" sheetId="15" state="hidden" r:id="rId1"/>
    <sheet name="AVERT summary" sheetId="12" state="hidden" r:id="rId2"/>
    <sheet name="Summary" sheetId="11" r:id="rId3"/>
    <sheet name="Post Summary" sheetId="21" state="hidden" r:id="rId4"/>
    <sheet name="GWh" sheetId="18" state="hidden" r:id="rId5"/>
    <sheet name="2021" sheetId="24" r:id="rId6"/>
    <sheet name="2020" sheetId="23" r:id="rId7"/>
    <sheet name="2019" sheetId="22" r:id="rId8"/>
    <sheet name="2018" sheetId="20" r:id="rId9"/>
    <sheet name="2017" sheetId="19" r:id="rId10"/>
    <sheet name="2016" sheetId="17" r:id="rId11"/>
    <sheet name="2015" sheetId="16" r:id="rId12"/>
    <sheet name="2014" sheetId="14" r:id="rId13"/>
    <sheet name="2013" sheetId="13" r:id="rId14"/>
    <sheet name="2012" sheetId="8" r:id="rId15"/>
    <sheet name="2011" sheetId="6" r:id="rId16"/>
    <sheet name="2010" sheetId="7" r:id="rId17"/>
    <sheet name="2009" sheetId="5" r:id="rId18"/>
    <sheet name="2008" sheetId="4" r:id="rId19"/>
    <sheet name="2007" sheetId="10" r:id="rId20"/>
    <sheet name="2006" sheetId="3" r:id="rId21"/>
    <sheet name="2013 Goldbook wind" sheetId="1" state="hidden" r:id="rId22"/>
    <sheet name="NY 2012 Wind" sheetId="2" state="hidden" r:id="rId23"/>
  </sheets>
  <definedNames>
    <definedName name="_xlnm.Print_Area" localSheetId="8">'2018'!$A$1:$G$29</definedName>
    <definedName name="_xlnm.Print_Area" localSheetId="3">'Post Summary'!$A$1:$Q$31</definedName>
    <definedName name="_xlnm.Print_Area" localSheetId="2">Summary!$A$1:$Q$34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4" i="24" l="1"/>
  <c r="E33" i="24" s="1"/>
  <c r="E35" i="24"/>
  <c r="Q34" i="11" l="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Q6" i="11"/>
  <c r="Q4" i="11"/>
  <c r="Q5" i="11"/>
  <c r="P31" i="11"/>
  <c r="P30" i="11"/>
  <c r="P29" i="11"/>
  <c r="P28" i="11"/>
  <c r="P27" i="11"/>
  <c r="P25" i="11"/>
  <c r="P24" i="11"/>
  <c r="P23" i="11"/>
  <c r="P22" i="11"/>
  <c r="P21" i="11"/>
  <c r="P20" i="11"/>
  <c r="P19" i="11"/>
  <c r="P18" i="11"/>
  <c r="P17" i="11"/>
  <c r="P16" i="11"/>
  <c r="P15" i="11"/>
  <c r="P14" i="11"/>
  <c r="P13" i="11"/>
  <c r="P12" i="11"/>
  <c r="P11" i="11"/>
  <c r="P10" i="11"/>
  <c r="P9" i="11"/>
  <c r="P7" i="11"/>
  <c r="P6" i="11"/>
  <c r="P5" i="11"/>
  <c r="P4" i="11"/>
  <c r="L27" i="24" l="1"/>
  <c r="K27" i="24"/>
  <c r="J27" i="24"/>
  <c r="J9" i="24"/>
  <c r="L9" i="24"/>
  <c r="K9" i="24"/>
  <c r="I31" i="24"/>
  <c r="H31" i="24"/>
  <c r="G31" i="24"/>
  <c r="F31" i="24"/>
  <c r="E31" i="24"/>
  <c r="L31" i="24" s="1"/>
  <c r="L30" i="24"/>
  <c r="K30" i="24"/>
  <c r="J30" i="24"/>
  <c r="L29" i="24"/>
  <c r="K29" i="24"/>
  <c r="J29" i="24"/>
  <c r="L28" i="24"/>
  <c r="K28" i="24"/>
  <c r="J28" i="24"/>
  <c r="L26" i="24"/>
  <c r="K26" i="24"/>
  <c r="J26" i="24"/>
  <c r="L25" i="24"/>
  <c r="K25" i="24"/>
  <c r="J25" i="24"/>
  <c r="L24" i="24"/>
  <c r="K24" i="24"/>
  <c r="J24" i="24"/>
  <c r="L23" i="24"/>
  <c r="K23" i="24"/>
  <c r="J23" i="24"/>
  <c r="L22" i="24"/>
  <c r="K22" i="24"/>
  <c r="J22" i="24"/>
  <c r="L21" i="24"/>
  <c r="K21" i="24"/>
  <c r="J21" i="24"/>
  <c r="L20" i="24"/>
  <c r="K20" i="24"/>
  <c r="J20" i="24"/>
  <c r="L19" i="24"/>
  <c r="K19" i="24"/>
  <c r="J19" i="24"/>
  <c r="L18" i="24"/>
  <c r="K18" i="24"/>
  <c r="J18" i="24"/>
  <c r="L17" i="24"/>
  <c r="K17" i="24"/>
  <c r="J17" i="24"/>
  <c r="L16" i="24"/>
  <c r="K16" i="24"/>
  <c r="J16" i="24"/>
  <c r="L15" i="24"/>
  <c r="K15" i="24"/>
  <c r="J15" i="24"/>
  <c r="L14" i="24"/>
  <c r="K14" i="24"/>
  <c r="J14" i="24"/>
  <c r="L13" i="24"/>
  <c r="K13" i="24"/>
  <c r="J13" i="24"/>
  <c r="L12" i="24"/>
  <c r="K12" i="24"/>
  <c r="J12" i="24"/>
  <c r="L11" i="24"/>
  <c r="K11" i="24"/>
  <c r="J11" i="24"/>
  <c r="L10" i="24"/>
  <c r="K10" i="24"/>
  <c r="J10" i="24"/>
  <c r="L8" i="24"/>
  <c r="K8" i="24"/>
  <c r="J8" i="24"/>
  <c r="L7" i="24"/>
  <c r="K7" i="24"/>
  <c r="J7" i="24"/>
  <c r="L6" i="24"/>
  <c r="K6" i="24"/>
  <c r="J6" i="24"/>
  <c r="L5" i="24"/>
  <c r="K5" i="24"/>
  <c r="J5" i="24"/>
  <c r="K31" i="24" l="1"/>
  <c r="J31" i="24" s="1"/>
  <c r="R26" i="21"/>
  <c r="R22" i="21"/>
  <c r="R18" i="21"/>
  <c r="R14" i="21"/>
  <c r="R10" i="21"/>
  <c r="R6" i="21"/>
  <c r="I29" i="23"/>
  <c r="H29" i="23"/>
  <c r="G29" i="23"/>
  <c r="F29" i="23"/>
  <c r="E29" i="23"/>
  <c r="L29" i="23" s="1"/>
  <c r="L28" i="23"/>
  <c r="K28" i="23"/>
  <c r="J28" i="23"/>
  <c r="R28" i="21" s="1"/>
  <c r="L27" i="23"/>
  <c r="K27" i="23"/>
  <c r="J27" i="23"/>
  <c r="R27" i="21" s="1"/>
  <c r="L26" i="23"/>
  <c r="K26" i="23"/>
  <c r="J26" i="23"/>
  <c r="L25" i="23"/>
  <c r="K25" i="23"/>
  <c r="J25" i="23"/>
  <c r="R25" i="21" s="1"/>
  <c r="L24" i="23"/>
  <c r="K24" i="23"/>
  <c r="J24" i="23"/>
  <c r="L23" i="23"/>
  <c r="K23" i="23"/>
  <c r="J23" i="23"/>
  <c r="L22" i="23"/>
  <c r="K22" i="23"/>
  <c r="J22" i="23"/>
  <c r="L21" i="23"/>
  <c r="K21" i="23"/>
  <c r="J21" i="23"/>
  <c r="R21" i="21" s="1"/>
  <c r="L20" i="23"/>
  <c r="K20" i="23"/>
  <c r="J20" i="23"/>
  <c r="L19" i="23"/>
  <c r="K19" i="23"/>
  <c r="J19" i="23"/>
  <c r="L18" i="23"/>
  <c r="K18" i="23"/>
  <c r="J18" i="23"/>
  <c r="L17" i="23"/>
  <c r="K17" i="23"/>
  <c r="J17" i="23"/>
  <c r="R17" i="21" s="1"/>
  <c r="L16" i="23"/>
  <c r="K16" i="23"/>
  <c r="J16" i="23"/>
  <c r="L15" i="23"/>
  <c r="K15" i="23"/>
  <c r="J15" i="23"/>
  <c r="L14" i="23"/>
  <c r="K14" i="23"/>
  <c r="J14" i="23"/>
  <c r="L13" i="23"/>
  <c r="K13" i="23"/>
  <c r="J13" i="23"/>
  <c r="R13" i="21" s="1"/>
  <c r="L12" i="23"/>
  <c r="K12" i="23"/>
  <c r="J12" i="23"/>
  <c r="L11" i="23"/>
  <c r="K11" i="23"/>
  <c r="J11" i="23"/>
  <c r="L10" i="23"/>
  <c r="K10" i="23"/>
  <c r="J10" i="23"/>
  <c r="L9" i="23"/>
  <c r="K9" i="23"/>
  <c r="J9" i="23"/>
  <c r="R9" i="21" s="1"/>
  <c r="L8" i="23"/>
  <c r="K8" i="23"/>
  <c r="J8" i="23"/>
  <c r="R8" i="21" s="1"/>
  <c r="L7" i="23"/>
  <c r="K7" i="23"/>
  <c r="J7" i="23"/>
  <c r="R7" i="21" s="1"/>
  <c r="L6" i="23"/>
  <c r="K6" i="23"/>
  <c r="J6" i="23"/>
  <c r="L5" i="23"/>
  <c r="K5" i="23"/>
  <c r="J5" i="23"/>
  <c r="R5" i="21" s="1"/>
  <c r="R30" i="21" l="1"/>
  <c r="K29" i="23"/>
  <c r="R33" i="21" s="1"/>
  <c r="R11" i="21"/>
  <c r="R15" i="21"/>
  <c r="R19" i="21"/>
  <c r="R23" i="21"/>
  <c r="R12" i="21"/>
  <c r="R16" i="21"/>
  <c r="R20" i="21"/>
  <c r="R24" i="21"/>
  <c r="R29" i="21"/>
  <c r="R31" i="21"/>
  <c r="J29" i="23"/>
  <c r="J31" i="22"/>
  <c r="X9" i="21" l="1"/>
  <c r="Y9" i="21" s="1"/>
  <c r="X25" i="21"/>
  <c r="Y25" i="21" s="1"/>
  <c r="X18" i="21"/>
  <c r="Y18" i="21" s="1"/>
  <c r="X24" i="21"/>
  <c r="Y24" i="21" s="1"/>
  <c r="X11" i="21"/>
  <c r="Y11" i="21" s="1"/>
  <c r="X6" i="21"/>
  <c r="Y6" i="21" s="1"/>
  <c r="Z18" i="21" l="1"/>
  <c r="AA18" i="21" s="1"/>
  <c r="S6" i="22"/>
  <c r="S7" i="22"/>
  <c r="S8" i="22"/>
  <c r="S9" i="22"/>
  <c r="S10" i="22"/>
  <c r="S11" i="22"/>
  <c r="S12" i="22"/>
  <c r="S13" i="22"/>
  <c r="S14" i="22"/>
  <c r="S15" i="22"/>
  <c r="S16" i="22"/>
  <c r="S17" i="22"/>
  <c r="S18" i="22"/>
  <c r="S19" i="22"/>
  <c r="S20" i="22"/>
  <c r="S21" i="22"/>
  <c r="S22" i="22"/>
  <c r="S23" i="22"/>
  <c r="S24" i="22"/>
  <c r="S25" i="22"/>
  <c r="S26" i="22"/>
  <c r="S27" i="22"/>
  <c r="S28" i="22"/>
  <c r="S5" i="22"/>
  <c r="J6" i="22"/>
  <c r="O5" i="11" s="1"/>
  <c r="K6" i="22"/>
  <c r="K11" i="22"/>
  <c r="J11" i="22"/>
  <c r="Q11" i="21" s="1"/>
  <c r="I29" i="22"/>
  <c r="H29" i="22"/>
  <c r="G29" i="22"/>
  <c r="F29" i="22"/>
  <c r="E29" i="22"/>
  <c r="L28" i="22"/>
  <c r="K28" i="22"/>
  <c r="J28" i="22"/>
  <c r="Q28" i="21" s="1"/>
  <c r="L27" i="22"/>
  <c r="K27" i="22"/>
  <c r="J27" i="22"/>
  <c r="Q27" i="21" s="1"/>
  <c r="L26" i="22"/>
  <c r="K26" i="22"/>
  <c r="J26" i="22"/>
  <c r="Q26" i="21" s="1"/>
  <c r="L25" i="22"/>
  <c r="K25" i="22"/>
  <c r="J25" i="22"/>
  <c r="Q25" i="21" s="1"/>
  <c r="L24" i="22"/>
  <c r="K24" i="22"/>
  <c r="J24" i="22"/>
  <c r="O27" i="11" s="1"/>
  <c r="L23" i="22"/>
  <c r="K23" i="22"/>
  <c r="J23" i="22"/>
  <c r="Q23" i="21" s="1"/>
  <c r="L22" i="22"/>
  <c r="K22" i="22"/>
  <c r="J22" i="22"/>
  <c r="Q22" i="21" s="1"/>
  <c r="L21" i="22"/>
  <c r="K21" i="22"/>
  <c r="J21" i="22"/>
  <c r="Q21" i="21" s="1"/>
  <c r="L20" i="22"/>
  <c r="K20" i="22"/>
  <c r="J20" i="22"/>
  <c r="O22" i="11" s="1"/>
  <c r="L19" i="22"/>
  <c r="K19" i="22"/>
  <c r="J19" i="22"/>
  <c r="Q19" i="21" s="1"/>
  <c r="L18" i="22"/>
  <c r="K18" i="22"/>
  <c r="J18" i="22"/>
  <c r="Q18" i="21" s="1"/>
  <c r="L17" i="22"/>
  <c r="K17" i="22"/>
  <c r="J17" i="22"/>
  <c r="Q17" i="21" s="1"/>
  <c r="L16" i="22"/>
  <c r="K16" i="22"/>
  <c r="J16" i="22"/>
  <c r="O18" i="11" s="1"/>
  <c r="L15" i="22"/>
  <c r="K15" i="22"/>
  <c r="J15" i="22"/>
  <c r="Q15" i="21" s="1"/>
  <c r="L14" i="22"/>
  <c r="K14" i="22"/>
  <c r="J14" i="22"/>
  <c r="Q14" i="21" s="1"/>
  <c r="L13" i="22"/>
  <c r="K13" i="22"/>
  <c r="J13" i="22"/>
  <c r="Q13" i="21" s="1"/>
  <c r="L12" i="22"/>
  <c r="K12" i="22"/>
  <c r="J12" i="22"/>
  <c r="O14" i="11" s="1"/>
  <c r="L11" i="22"/>
  <c r="L10" i="22"/>
  <c r="K10" i="22"/>
  <c r="J10" i="22"/>
  <c r="Q10" i="21" s="1"/>
  <c r="L9" i="22"/>
  <c r="K9" i="22"/>
  <c r="J9" i="22"/>
  <c r="Q9" i="21" s="1"/>
  <c r="L8" i="22"/>
  <c r="K8" i="22"/>
  <c r="J8" i="22"/>
  <c r="O9" i="11" s="1"/>
  <c r="L7" i="22"/>
  <c r="K7" i="22"/>
  <c r="J7" i="22"/>
  <c r="Q7" i="21" s="1"/>
  <c r="L6" i="22"/>
  <c r="L5" i="22"/>
  <c r="K5" i="22"/>
  <c r="J5" i="22"/>
  <c r="Q5" i="21" s="1"/>
  <c r="I38" i="22" l="1"/>
  <c r="Q30" i="21"/>
  <c r="O6" i="11"/>
  <c r="O12" i="11"/>
  <c r="O16" i="11"/>
  <c r="O20" i="11"/>
  <c r="O24" i="11"/>
  <c r="O29" i="11"/>
  <c r="O11" i="11"/>
  <c r="Q24" i="21"/>
  <c r="Q20" i="21"/>
  <c r="Q16" i="21"/>
  <c r="Q12" i="21"/>
  <c r="Q8" i="21"/>
  <c r="O7" i="11"/>
  <c r="O13" i="11"/>
  <c r="O17" i="11"/>
  <c r="O21" i="11"/>
  <c r="O25" i="11"/>
  <c r="O31" i="11"/>
  <c r="L29" i="22"/>
  <c r="E33" i="22"/>
  <c r="F33" i="22" s="1"/>
  <c r="F35" i="22" s="1"/>
  <c r="Q29" i="21"/>
  <c r="Q6" i="21"/>
  <c r="O4" i="11"/>
  <c r="O10" i="11"/>
  <c r="O15" i="11"/>
  <c r="O19" i="11"/>
  <c r="O23" i="11"/>
  <c r="O28" i="11"/>
  <c r="K29" i="22"/>
  <c r="I31" i="20"/>
  <c r="H31" i="20"/>
  <c r="G31" i="20"/>
  <c r="F31" i="20"/>
  <c r="E31" i="20"/>
  <c r="I29" i="20"/>
  <c r="H29" i="20"/>
  <c r="G29" i="20"/>
  <c r="F29" i="20"/>
  <c r="E29" i="20"/>
  <c r="P29" i="21" s="1"/>
  <c r="L28" i="20"/>
  <c r="K28" i="20"/>
  <c r="J28" i="20"/>
  <c r="P28" i="21" s="1"/>
  <c r="L27" i="20"/>
  <c r="K27" i="20"/>
  <c r="J27" i="20"/>
  <c r="P27" i="21" s="1"/>
  <c r="L26" i="20"/>
  <c r="K26" i="20"/>
  <c r="J26" i="20"/>
  <c r="L25" i="20"/>
  <c r="K25" i="20"/>
  <c r="J25" i="20"/>
  <c r="L24" i="20"/>
  <c r="K24" i="20"/>
  <c r="J24" i="20"/>
  <c r="L23" i="20"/>
  <c r="K23" i="20"/>
  <c r="J23" i="20"/>
  <c r="L22" i="20"/>
  <c r="K22" i="20"/>
  <c r="J22" i="20"/>
  <c r="L21" i="20"/>
  <c r="K21" i="20"/>
  <c r="J21" i="20"/>
  <c r="L20" i="20"/>
  <c r="K20" i="20"/>
  <c r="J20" i="20"/>
  <c r="L19" i="20"/>
  <c r="K19" i="20"/>
  <c r="J19" i="20"/>
  <c r="L18" i="20"/>
  <c r="K18" i="20"/>
  <c r="J18" i="20"/>
  <c r="L17" i="20"/>
  <c r="K17" i="20"/>
  <c r="J17" i="20"/>
  <c r="L16" i="20"/>
  <c r="K16" i="20"/>
  <c r="J16" i="20"/>
  <c r="L15" i="20"/>
  <c r="K15" i="20"/>
  <c r="J15" i="20"/>
  <c r="L14" i="20"/>
  <c r="K14" i="20"/>
  <c r="J14" i="20"/>
  <c r="L13" i="20"/>
  <c r="K13" i="20"/>
  <c r="J13" i="20"/>
  <c r="L12" i="20"/>
  <c r="K12" i="20"/>
  <c r="J12" i="20"/>
  <c r="L11" i="20"/>
  <c r="K11" i="20"/>
  <c r="J11" i="20"/>
  <c r="N13" i="11" s="1"/>
  <c r="L10" i="20"/>
  <c r="K10" i="20"/>
  <c r="J10" i="20"/>
  <c r="L9" i="20"/>
  <c r="K9" i="20"/>
  <c r="J9" i="20"/>
  <c r="L8" i="20"/>
  <c r="K8" i="20"/>
  <c r="J8" i="20"/>
  <c r="L7" i="20"/>
  <c r="K7" i="20"/>
  <c r="J7" i="20"/>
  <c r="L6" i="20"/>
  <c r="K6" i="20"/>
  <c r="J6" i="20"/>
  <c r="N6" i="11" s="1"/>
  <c r="L5" i="20"/>
  <c r="K5" i="20"/>
  <c r="J5" i="20"/>
  <c r="N9" i="11" l="1"/>
  <c r="P8" i="21"/>
  <c r="P12" i="21"/>
  <c r="N14" i="11"/>
  <c r="P16" i="21"/>
  <c r="N18" i="11"/>
  <c r="P20" i="21"/>
  <c r="N22" i="11"/>
  <c r="P24" i="21"/>
  <c r="N27" i="11"/>
  <c r="L29" i="20"/>
  <c r="P7" i="21"/>
  <c r="N7" i="11"/>
  <c r="P15" i="21"/>
  <c r="N17" i="11"/>
  <c r="P19" i="21"/>
  <c r="N21" i="11"/>
  <c r="P23" i="21"/>
  <c r="N25" i="11"/>
  <c r="K29" i="20"/>
  <c r="P10" i="21"/>
  <c r="N12" i="11"/>
  <c r="N16" i="11"/>
  <c r="P14" i="21"/>
  <c r="N20" i="11"/>
  <c r="P18" i="21"/>
  <c r="N24" i="11"/>
  <c r="P22" i="21"/>
  <c r="N29" i="11"/>
  <c r="P26" i="21"/>
  <c r="N4" i="11"/>
  <c r="P5" i="21"/>
  <c r="N10" i="11"/>
  <c r="P9" i="21"/>
  <c r="N15" i="11"/>
  <c r="P13" i="21"/>
  <c r="N19" i="11"/>
  <c r="P17" i="21"/>
  <c r="N23" i="11"/>
  <c r="P21" i="21"/>
  <c r="N28" i="11"/>
  <c r="P25" i="21"/>
  <c r="P30" i="21"/>
  <c r="N31" i="11"/>
  <c r="P32" i="11"/>
  <c r="P34" i="11" s="1"/>
  <c r="O32" i="11"/>
  <c r="O34" i="11" s="1"/>
  <c r="Q33" i="21"/>
  <c r="Q31" i="21" s="1"/>
  <c r="J29" i="22"/>
  <c r="J29" i="20"/>
  <c r="N30" i="11" s="1"/>
  <c r="I30" i="20"/>
  <c r="F28" i="21"/>
  <c r="E28" i="21"/>
  <c r="D28" i="21"/>
  <c r="D26" i="21"/>
  <c r="E24" i="21"/>
  <c r="D24" i="21"/>
  <c r="I22" i="21"/>
  <c r="H22" i="21"/>
  <c r="G22" i="21"/>
  <c r="F22" i="21"/>
  <c r="E22" i="21"/>
  <c r="D22" i="21"/>
  <c r="E21" i="21"/>
  <c r="D21" i="21"/>
  <c r="I17" i="21"/>
  <c r="H17" i="21"/>
  <c r="F17" i="21"/>
  <c r="E17" i="21"/>
  <c r="D17" i="21"/>
  <c r="F16" i="21"/>
  <c r="E16" i="21"/>
  <c r="D16" i="21"/>
  <c r="F15" i="21"/>
  <c r="E15" i="21"/>
  <c r="D15" i="21"/>
  <c r="I13" i="21"/>
  <c r="H13" i="21"/>
  <c r="G13" i="21"/>
  <c r="F13" i="21"/>
  <c r="E13" i="21"/>
  <c r="D13" i="21"/>
  <c r="E12" i="21"/>
  <c r="D12" i="21"/>
  <c r="E10" i="21"/>
  <c r="D10" i="21"/>
  <c r="E9" i="21"/>
  <c r="D9" i="21"/>
  <c r="E8" i="21"/>
  <c r="D8" i="21"/>
  <c r="E7" i="21"/>
  <c r="D7" i="21"/>
  <c r="E5" i="21"/>
  <c r="D5" i="21"/>
  <c r="N11" i="18"/>
  <c r="N6" i="18"/>
  <c r="N28" i="18"/>
  <c r="N27" i="18"/>
  <c r="N26" i="18"/>
  <c r="N25" i="18"/>
  <c r="N24" i="18"/>
  <c r="N23" i="18"/>
  <c r="N22" i="18"/>
  <c r="N21" i="18"/>
  <c r="N20" i="18"/>
  <c r="N19" i="18"/>
  <c r="N18" i="18"/>
  <c r="N17" i="18"/>
  <c r="N16" i="18"/>
  <c r="N15" i="18"/>
  <c r="N14" i="18"/>
  <c r="N13" i="18"/>
  <c r="N12" i="18"/>
  <c r="N10" i="18"/>
  <c r="N9" i="18"/>
  <c r="N8" i="18"/>
  <c r="N7" i="18"/>
  <c r="N5" i="18"/>
  <c r="J38" i="22" l="1"/>
  <c r="E38" i="22" s="1"/>
  <c r="O30" i="11"/>
  <c r="K30" i="20"/>
  <c r="J30" i="20" s="1"/>
  <c r="P33" i="21"/>
  <c r="P31" i="21" s="1"/>
  <c r="N32" i="11"/>
  <c r="N34" i="11" s="1"/>
  <c r="C29" i="21"/>
  <c r="N29" i="18"/>
  <c r="K6" i="19"/>
  <c r="K7" i="19"/>
  <c r="K8" i="19"/>
  <c r="K9" i="19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19" i="17"/>
  <c r="K20" i="17"/>
  <c r="K21" i="17"/>
  <c r="K22" i="17"/>
  <c r="K23" i="17"/>
  <c r="K24" i="17"/>
  <c r="K25" i="17"/>
  <c r="K26" i="17"/>
  <c r="L6" i="19"/>
  <c r="L7" i="19"/>
  <c r="L8" i="19"/>
  <c r="L9" i="19"/>
  <c r="L10" i="19"/>
  <c r="L11" i="19"/>
  <c r="L12" i="19"/>
  <c r="L13" i="19"/>
  <c r="L14" i="19"/>
  <c r="L15" i="19"/>
  <c r="L16" i="19"/>
  <c r="L17" i="19"/>
  <c r="L18" i="19"/>
  <c r="L19" i="19"/>
  <c r="L20" i="19"/>
  <c r="L21" i="19"/>
  <c r="L22" i="19"/>
  <c r="L23" i="19"/>
  <c r="L24" i="19"/>
  <c r="L25" i="19"/>
  <c r="L26" i="19"/>
  <c r="L5" i="19"/>
  <c r="I29" i="8" l="1"/>
  <c r="H29" i="8"/>
  <c r="G29" i="8"/>
  <c r="F29" i="8"/>
  <c r="E29" i="8"/>
  <c r="I29" i="6"/>
  <c r="H29" i="6"/>
  <c r="G29" i="6"/>
  <c r="F29" i="6"/>
  <c r="E29" i="6"/>
  <c r="I29" i="7"/>
  <c r="H29" i="7"/>
  <c r="G29" i="7"/>
  <c r="F29" i="7"/>
  <c r="E29" i="7"/>
  <c r="I29" i="4"/>
  <c r="H29" i="4"/>
  <c r="G29" i="4"/>
  <c r="F29" i="4"/>
  <c r="E29" i="4"/>
  <c r="I29" i="5"/>
  <c r="H29" i="5"/>
  <c r="G29" i="5"/>
  <c r="F29" i="5"/>
  <c r="E29" i="5"/>
  <c r="I29" i="10"/>
  <c r="H29" i="10"/>
  <c r="G29" i="10"/>
  <c r="F29" i="10"/>
  <c r="E29" i="10"/>
  <c r="I29" i="19"/>
  <c r="H29" i="19"/>
  <c r="G29" i="19"/>
  <c r="F29" i="19"/>
  <c r="E29" i="19"/>
  <c r="F29" i="17"/>
  <c r="G29" i="17"/>
  <c r="H29" i="17"/>
  <c r="I29" i="17"/>
  <c r="E29" i="17"/>
  <c r="I29" i="16"/>
  <c r="H29" i="16"/>
  <c r="G29" i="16"/>
  <c r="F29" i="16"/>
  <c r="E29" i="16"/>
  <c r="I29" i="14"/>
  <c r="H29" i="14"/>
  <c r="G29" i="14"/>
  <c r="F29" i="14"/>
  <c r="E29" i="14"/>
  <c r="F29" i="13"/>
  <c r="G29" i="13"/>
  <c r="H29" i="13"/>
  <c r="I29" i="13"/>
  <c r="E29" i="13"/>
  <c r="F29" i="3"/>
  <c r="G29" i="3"/>
  <c r="H29" i="3"/>
  <c r="I29" i="3"/>
  <c r="E29" i="3"/>
  <c r="M28" i="18" l="1"/>
  <c r="M27" i="18"/>
  <c r="M26" i="18"/>
  <c r="M25" i="18"/>
  <c r="M24" i="18"/>
  <c r="M23" i="18"/>
  <c r="M22" i="18"/>
  <c r="M21" i="18"/>
  <c r="M20" i="18"/>
  <c r="M19" i="18"/>
  <c r="M18" i="18"/>
  <c r="M17" i="18"/>
  <c r="M16" i="18"/>
  <c r="M15" i="18"/>
  <c r="M14" i="18"/>
  <c r="M13" i="18"/>
  <c r="M12" i="18"/>
  <c r="M10" i="18"/>
  <c r="M9" i="18"/>
  <c r="M8" i="18"/>
  <c r="M7" i="18"/>
  <c r="M5" i="18"/>
  <c r="J16" i="19"/>
  <c r="O18" i="21" s="1"/>
  <c r="I27" i="19"/>
  <c r="O30" i="21" s="1"/>
  <c r="H27" i="19"/>
  <c r="G27" i="19"/>
  <c r="F27" i="19"/>
  <c r="E27" i="19"/>
  <c r="J26" i="19"/>
  <c r="J25" i="19"/>
  <c r="J24" i="19"/>
  <c r="O26" i="21" s="1"/>
  <c r="J23" i="19"/>
  <c r="J22" i="19"/>
  <c r="J21" i="19"/>
  <c r="J20" i="19"/>
  <c r="J19" i="19"/>
  <c r="J18" i="19"/>
  <c r="J17" i="19"/>
  <c r="J15" i="19"/>
  <c r="J14" i="19"/>
  <c r="J13" i="19"/>
  <c r="J12" i="19"/>
  <c r="O14" i="21" s="1"/>
  <c r="J11" i="19"/>
  <c r="J10" i="19"/>
  <c r="J9" i="19"/>
  <c r="J8" i="19"/>
  <c r="O9" i="21" s="1"/>
  <c r="J7" i="19"/>
  <c r="J6" i="19"/>
  <c r="K5" i="19"/>
  <c r="J5" i="19"/>
  <c r="L27" i="19" l="1"/>
  <c r="O29" i="21"/>
  <c r="M13" i="11"/>
  <c r="O13" i="21"/>
  <c r="M19" i="11"/>
  <c r="O19" i="21"/>
  <c r="M23" i="11"/>
  <c r="O23" i="21"/>
  <c r="M28" i="11"/>
  <c r="O27" i="21"/>
  <c r="M9" i="11"/>
  <c r="M31" i="11"/>
  <c r="M7" i="11"/>
  <c r="O8" i="21"/>
  <c r="M17" i="11"/>
  <c r="O17" i="21"/>
  <c r="M22" i="11"/>
  <c r="O22" i="21"/>
  <c r="M4" i="11"/>
  <c r="O5" i="21"/>
  <c r="M10" i="11"/>
  <c r="O10" i="21"/>
  <c r="M15" i="11"/>
  <c r="O15" i="21"/>
  <c r="M20" i="11"/>
  <c r="O20" i="21"/>
  <c r="M24" i="11"/>
  <c r="O24" i="21"/>
  <c r="M29" i="11"/>
  <c r="O28" i="21"/>
  <c r="M14" i="11"/>
  <c r="M27" i="11"/>
  <c r="M6" i="11"/>
  <c r="O7" i="21"/>
  <c r="M12" i="11"/>
  <c r="O12" i="21"/>
  <c r="M16" i="11"/>
  <c r="O16" i="21"/>
  <c r="M21" i="11"/>
  <c r="O21" i="21"/>
  <c r="M25" i="11"/>
  <c r="O25" i="21"/>
  <c r="M18" i="11"/>
  <c r="M29" i="18"/>
  <c r="K27" i="19"/>
  <c r="L28" i="18"/>
  <c r="K28" i="18"/>
  <c r="J28" i="18"/>
  <c r="I28" i="18"/>
  <c r="H28" i="18"/>
  <c r="G28" i="18"/>
  <c r="F28" i="18"/>
  <c r="E28" i="18"/>
  <c r="D28" i="18"/>
  <c r="C28" i="18"/>
  <c r="B28" i="18"/>
  <c r="L27" i="18"/>
  <c r="K27" i="18"/>
  <c r="J27" i="18"/>
  <c r="I27" i="18"/>
  <c r="H27" i="18"/>
  <c r="G27" i="18"/>
  <c r="F27" i="18"/>
  <c r="E27" i="18"/>
  <c r="D27" i="18"/>
  <c r="C27" i="18"/>
  <c r="B27" i="18"/>
  <c r="L26" i="18"/>
  <c r="K26" i="18"/>
  <c r="J26" i="18"/>
  <c r="I26" i="18"/>
  <c r="H26" i="18"/>
  <c r="G26" i="18"/>
  <c r="F26" i="18"/>
  <c r="E26" i="18"/>
  <c r="D26" i="18"/>
  <c r="C26" i="18"/>
  <c r="B26" i="18"/>
  <c r="L25" i="18"/>
  <c r="K25" i="18"/>
  <c r="J25" i="18"/>
  <c r="I25" i="18"/>
  <c r="L24" i="18"/>
  <c r="K24" i="18"/>
  <c r="J24" i="18"/>
  <c r="I24" i="18"/>
  <c r="H24" i="18"/>
  <c r="G24" i="18"/>
  <c r="F24" i="18"/>
  <c r="E24" i="18"/>
  <c r="D24" i="18"/>
  <c r="C24" i="18"/>
  <c r="B24" i="18"/>
  <c r="L23" i="18"/>
  <c r="K23" i="18"/>
  <c r="L22" i="18"/>
  <c r="K22" i="18"/>
  <c r="J22" i="18"/>
  <c r="I22" i="18"/>
  <c r="H22" i="18"/>
  <c r="G22" i="18"/>
  <c r="F22" i="18"/>
  <c r="E22" i="18"/>
  <c r="D22" i="18"/>
  <c r="C22" i="18"/>
  <c r="B22" i="18"/>
  <c r="L21" i="18"/>
  <c r="K21" i="18"/>
  <c r="J21" i="18"/>
  <c r="I21" i="18"/>
  <c r="H21" i="18"/>
  <c r="G21" i="18"/>
  <c r="F21" i="18"/>
  <c r="E21" i="18"/>
  <c r="D21" i="18"/>
  <c r="C21" i="18"/>
  <c r="B21" i="18"/>
  <c r="L20" i="18"/>
  <c r="K20" i="18"/>
  <c r="J20" i="18"/>
  <c r="I20" i="18"/>
  <c r="H20" i="18"/>
  <c r="G20" i="18"/>
  <c r="F20" i="18"/>
  <c r="E20" i="18"/>
  <c r="D20" i="18"/>
  <c r="C20" i="18"/>
  <c r="B20" i="18"/>
  <c r="L19" i="18"/>
  <c r="K19" i="18"/>
  <c r="J19" i="18"/>
  <c r="I19" i="18"/>
  <c r="H19" i="18"/>
  <c r="G19" i="18"/>
  <c r="F19" i="18"/>
  <c r="E19" i="18"/>
  <c r="D19" i="18"/>
  <c r="C19" i="18"/>
  <c r="B19" i="18"/>
  <c r="L18" i="18"/>
  <c r="L17" i="18"/>
  <c r="K17" i="18"/>
  <c r="J17" i="18"/>
  <c r="I17" i="18"/>
  <c r="H17" i="18"/>
  <c r="G17" i="18"/>
  <c r="F17" i="18"/>
  <c r="E17" i="18"/>
  <c r="D17" i="18"/>
  <c r="C17" i="18"/>
  <c r="B17" i="18"/>
  <c r="L16" i="18"/>
  <c r="K16" i="18"/>
  <c r="J16" i="18"/>
  <c r="I16" i="18"/>
  <c r="H16" i="18"/>
  <c r="G16" i="18"/>
  <c r="F16" i="18"/>
  <c r="E16" i="18"/>
  <c r="D16" i="18"/>
  <c r="C16" i="18"/>
  <c r="B16" i="18"/>
  <c r="L15" i="18"/>
  <c r="K15" i="18"/>
  <c r="J15" i="18"/>
  <c r="I15" i="18"/>
  <c r="H15" i="18"/>
  <c r="G15" i="18"/>
  <c r="F15" i="18"/>
  <c r="E15" i="18"/>
  <c r="D15" i="18"/>
  <c r="C15" i="18"/>
  <c r="B15" i="18"/>
  <c r="L14" i="18"/>
  <c r="K14" i="18"/>
  <c r="J14" i="18"/>
  <c r="I14" i="18"/>
  <c r="H14" i="18"/>
  <c r="G14" i="18"/>
  <c r="F14" i="18"/>
  <c r="E14" i="18"/>
  <c r="D14" i="18"/>
  <c r="C14" i="18"/>
  <c r="B14" i="18"/>
  <c r="L13" i="18"/>
  <c r="K13" i="18"/>
  <c r="J13" i="18"/>
  <c r="I13" i="18"/>
  <c r="H13" i="18"/>
  <c r="G13" i="18"/>
  <c r="F13" i="18"/>
  <c r="E13" i="18"/>
  <c r="D13" i="18"/>
  <c r="C13" i="18"/>
  <c r="B13" i="18"/>
  <c r="L12" i="18"/>
  <c r="K12" i="18"/>
  <c r="J12" i="18"/>
  <c r="I12" i="18"/>
  <c r="H12" i="18"/>
  <c r="G12" i="18"/>
  <c r="F12" i="18"/>
  <c r="E12" i="18"/>
  <c r="D12" i="18"/>
  <c r="C12" i="18"/>
  <c r="B12" i="18"/>
  <c r="L10" i="18"/>
  <c r="K10" i="18"/>
  <c r="J10" i="18"/>
  <c r="I10" i="18"/>
  <c r="H10" i="18"/>
  <c r="G10" i="18"/>
  <c r="F10" i="18"/>
  <c r="E10" i="18"/>
  <c r="D10" i="18"/>
  <c r="C10" i="18"/>
  <c r="B10" i="18"/>
  <c r="L9" i="18"/>
  <c r="K9" i="18"/>
  <c r="J9" i="18"/>
  <c r="I9" i="18"/>
  <c r="H9" i="18"/>
  <c r="G9" i="18"/>
  <c r="F9" i="18"/>
  <c r="E9" i="18"/>
  <c r="D9" i="18"/>
  <c r="C9" i="18"/>
  <c r="B9" i="18"/>
  <c r="L8" i="18"/>
  <c r="K8" i="18"/>
  <c r="J8" i="18"/>
  <c r="I8" i="18"/>
  <c r="H8" i="18"/>
  <c r="G8" i="18"/>
  <c r="F8" i="18"/>
  <c r="E8" i="18"/>
  <c r="D8" i="18"/>
  <c r="C8" i="18"/>
  <c r="B8" i="18"/>
  <c r="L7" i="18"/>
  <c r="K7" i="18"/>
  <c r="J7" i="18"/>
  <c r="I7" i="18"/>
  <c r="H7" i="18"/>
  <c r="G7" i="18"/>
  <c r="F7" i="18"/>
  <c r="E7" i="18"/>
  <c r="D7" i="18"/>
  <c r="C7" i="18"/>
  <c r="B7" i="18"/>
  <c r="L5" i="18"/>
  <c r="K5" i="18"/>
  <c r="J5" i="18"/>
  <c r="I5" i="18"/>
  <c r="H5" i="18"/>
  <c r="G5" i="18"/>
  <c r="F5" i="18"/>
  <c r="E5" i="18"/>
  <c r="D5" i="18"/>
  <c r="C5" i="18"/>
  <c r="B5" i="18"/>
  <c r="M32" i="11" l="1"/>
  <c r="M34" i="11" s="1"/>
  <c r="O33" i="21"/>
  <c r="O31" i="21" s="1"/>
  <c r="D29" i="18"/>
  <c r="F29" i="18"/>
  <c r="H29" i="18"/>
  <c r="E29" i="18"/>
  <c r="C29" i="18"/>
  <c r="G29" i="18"/>
  <c r="K29" i="18"/>
  <c r="I29" i="18"/>
  <c r="L29" i="18"/>
  <c r="J29" i="18"/>
  <c r="J27" i="19"/>
  <c r="M30" i="11" s="1"/>
  <c r="B29" i="18"/>
  <c r="J20" i="16"/>
  <c r="M23" i="21" s="1"/>
  <c r="K20" i="16"/>
  <c r="K16" i="17"/>
  <c r="J16" i="17"/>
  <c r="I27" i="17"/>
  <c r="N30" i="21" s="1"/>
  <c r="H27" i="17"/>
  <c r="G27" i="17"/>
  <c r="F27" i="17"/>
  <c r="E27" i="17"/>
  <c r="N29" i="21" s="1"/>
  <c r="J26" i="17"/>
  <c r="J25" i="17"/>
  <c r="J24" i="17"/>
  <c r="J23" i="17"/>
  <c r="J22" i="17"/>
  <c r="J21" i="17"/>
  <c r="J20" i="17"/>
  <c r="J19" i="17"/>
  <c r="K18" i="17"/>
  <c r="J18" i="17"/>
  <c r="N20" i="21" s="1"/>
  <c r="K17" i="17"/>
  <c r="J17" i="17"/>
  <c r="N19" i="21" s="1"/>
  <c r="K15" i="17"/>
  <c r="J15" i="17"/>
  <c r="K14" i="17"/>
  <c r="J14" i="17"/>
  <c r="N16" i="21" s="1"/>
  <c r="K13" i="17"/>
  <c r="J13" i="17"/>
  <c r="K12" i="17"/>
  <c r="J12" i="17"/>
  <c r="N14" i="21" s="1"/>
  <c r="K11" i="17"/>
  <c r="J11" i="17"/>
  <c r="K10" i="17"/>
  <c r="J10" i="17"/>
  <c r="N12" i="21" s="1"/>
  <c r="K9" i="17"/>
  <c r="J9" i="17"/>
  <c r="K8" i="17"/>
  <c r="J8" i="17"/>
  <c r="N9" i="21" s="1"/>
  <c r="K7" i="17"/>
  <c r="J7" i="17"/>
  <c r="K6" i="17"/>
  <c r="J6" i="17"/>
  <c r="N7" i="21" s="1"/>
  <c r="K5" i="17"/>
  <c r="J5" i="17"/>
  <c r="L20" i="11" l="1"/>
  <c r="L12" i="11"/>
  <c r="L21" i="11"/>
  <c r="N21" i="21"/>
  <c r="L25" i="11"/>
  <c r="N25" i="21"/>
  <c r="L31" i="11"/>
  <c r="L19" i="11"/>
  <c r="L9" i="11"/>
  <c r="K23" i="11"/>
  <c r="L29" i="11"/>
  <c r="N28" i="21"/>
  <c r="L22" i="11"/>
  <c r="N22" i="21"/>
  <c r="L27" i="11"/>
  <c r="N26" i="21"/>
  <c r="L18" i="11"/>
  <c r="N18" i="21"/>
  <c r="L16" i="11"/>
  <c r="L6" i="11"/>
  <c r="L24" i="11"/>
  <c r="N24" i="21"/>
  <c r="L4" i="11"/>
  <c r="N5" i="21"/>
  <c r="L7" i="11"/>
  <c r="N8" i="21"/>
  <c r="L10" i="11"/>
  <c r="N10" i="21"/>
  <c r="L13" i="11"/>
  <c r="N13" i="21"/>
  <c r="L15" i="11"/>
  <c r="N15" i="21"/>
  <c r="L17" i="11"/>
  <c r="N17" i="21"/>
  <c r="L23" i="11"/>
  <c r="N23" i="21"/>
  <c r="L28" i="11"/>
  <c r="N27" i="21"/>
  <c r="L14" i="11"/>
  <c r="K27" i="17"/>
  <c r="J27" i="17" s="1"/>
  <c r="L30" i="11" s="1"/>
  <c r="K17" i="11"/>
  <c r="I26" i="16"/>
  <c r="M30" i="21" s="1"/>
  <c r="H26" i="16"/>
  <c r="G26" i="16"/>
  <c r="F26" i="16"/>
  <c r="E26" i="16"/>
  <c r="M29" i="21" s="1"/>
  <c r="K25" i="16"/>
  <c r="J25" i="16"/>
  <c r="K30" i="11" s="1"/>
  <c r="K24" i="16"/>
  <c r="J24" i="16"/>
  <c r="M28" i="21" s="1"/>
  <c r="K23" i="16"/>
  <c r="J23" i="16"/>
  <c r="M27" i="21" s="1"/>
  <c r="K22" i="16"/>
  <c r="J22" i="16"/>
  <c r="K21" i="16"/>
  <c r="J21" i="16"/>
  <c r="M24" i="21" s="1"/>
  <c r="K19" i="16"/>
  <c r="J19" i="16"/>
  <c r="M22" i="21" s="1"/>
  <c r="K18" i="16"/>
  <c r="J18" i="16"/>
  <c r="M21" i="21" s="1"/>
  <c r="K17" i="16"/>
  <c r="J17" i="16"/>
  <c r="M20" i="21" s="1"/>
  <c r="K16" i="16"/>
  <c r="J16" i="16"/>
  <c r="M19" i="21" s="1"/>
  <c r="K15" i="16"/>
  <c r="J15" i="16"/>
  <c r="M17" i="21" s="1"/>
  <c r="K14" i="16"/>
  <c r="J14" i="16"/>
  <c r="M16" i="21" s="1"/>
  <c r="K13" i="16"/>
  <c r="J13" i="16"/>
  <c r="M15" i="21" s="1"/>
  <c r="K12" i="16"/>
  <c r="J12" i="16"/>
  <c r="M14" i="21" s="1"/>
  <c r="K11" i="16"/>
  <c r="J11" i="16"/>
  <c r="M13" i="21" s="1"/>
  <c r="K10" i="16"/>
  <c r="J10" i="16"/>
  <c r="M12" i="21" s="1"/>
  <c r="K9" i="16"/>
  <c r="J9" i="16"/>
  <c r="M10" i="21" s="1"/>
  <c r="K8" i="16"/>
  <c r="J8" i="16"/>
  <c r="M9" i="21" s="1"/>
  <c r="K7" i="16"/>
  <c r="J7" i="16"/>
  <c r="M8" i="21" s="1"/>
  <c r="K6" i="16"/>
  <c r="J6" i="16"/>
  <c r="M7" i="21" s="1"/>
  <c r="K5" i="16"/>
  <c r="J5" i="16"/>
  <c r="M5" i="21" s="1"/>
  <c r="K22" i="11" l="1"/>
  <c r="K7" i="11"/>
  <c r="K28" i="11"/>
  <c r="K13" i="11"/>
  <c r="M26" i="21"/>
  <c r="M25" i="21"/>
  <c r="K9" i="11"/>
  <c r="K14" i="11"/>
  <c r="K19" i="11"/>
  <c r="K24" i="11"/>
  <c r="K29" i="11"/>
  <c r="L32" i="11"/>
  <c r="L34" i="11" s="1"/>
  <c r="N33" i="21"/>
  <c r="K26" i="16"/>
  <c r="K4" i="11"/>
  <c r="K10" i="11"/>
  <c r="K15" i="11"/>
  <c r="K20" i="11"/>
  <c r="K25" i="11"/>
  <c r="N31" i="21"/>
  <c r="T31" i="21" s="1"/>
  <c r="K6" i="11"/>
  <c r="K12" i="11"/>
  <c r="K16" i="11"/>
  <c r="K21" i="11"/>
  <c r="K27" i="11"/>
  <c r="K31" i="11"/>
  <c r="K32" i="11" l="1"/>
  <c r="K34" i="11" s="1"/>
  <c r="M33" i="21"/>
  <c r="M31" i="21" s="1"/>
  <c r="J26" i="16"/>
  <c r="B12" i="15"/>
  <c r="B11" i="15"/>
  <c r="B7" i="15" s="1"/>
  <c r="C7" i="15" s="1"/>
  <c r="B10" i="15"/>
  <c r="B5" i="15" s="1"/>
  <c r="C5" i="15" s="1"/>
  <c r="C4" i="15"/>
  <c r="C6" i="15"/>
  <c r="C3" i="15"/>
  <c r="A8" i="15"/>
  <c r="J22" i="14"/>
  <c r="J27" i="11" s="1"/>
  <c r="J20" i="14"/>
  <c r="C8" i="15" l="1"/>
  <c r="C17" i="15" s="1"/>
  <c r="L26" i="21"/>
  <c r="L25" i="21"/>
  <c r="J25" i="11"/>
  <c r="I26" i="14"/>
  <c r="L30" i="21" s="1"/>
  <c r="H26" i="14"/>
  <c r="G26" i="14"/>
  <c r="F26" i="14"/>
  <c r="E26" i="14"/>
  <c r="L29" i="21" s="1"/>
  <c r="K25" i="14"/>
  <c r="J25" i="14"/>
  <c r="J30" i="11" s="1"/>
  <c r="K24" i="14"/>
  <c r="J24" i="14"/>
  <c r="K23" i="14"/>
  <c r="J23" i="14"/>
  <c r="K22" i="14"/>
  <c r="K21" i="14"/>
  <c r="J21" i="14"/>
  <c r="K19" i="14"/>
  <c r="J19" i="14"/>
  <c r="K18" i="14"/>
  <c r="J18" i="14"/>
  <c r="K17" i="14"/>
  <c r="J17" i="14"/>
  <c r="K16" i="14"/>
  <c r="J16" i="14"/>
  <c r="K15" i="14"/>
  <c r="J15" i="14"/>
  <c r="K14" i="14"/>
  <c r="J14" i="14"/>
  <c r="K13" i="14"/>
  <c r="J13" i="14"/>
  <c r="K12" i="14"/>
  <c r="J12" i="14"/>
  <c r="K11" i="14"/>
  <c r="J11" i="14"/>
  <c r="K10" i="14"/>
  <c r="J10" i="14"/>
  <c r="K9" i="14"/>
  <c r="J9" i="14"/>
  <c r="K8" i="14"/>
  <c r="J8" i="14"/>
  <c r="K7" i="14"/>
  <c r="J7" i="14"/>
  <c r="K6" i="14"/>
  <c r="J6" i="14"/>
  <c r="K5" i="14"/>
  <c r="J5" i="14"/>
  <c r="L8" i="21" l="1"/>
  <c r="J7" i="11"/>
  <c r="L15" i="21"/>
  <c r="J15" i="11"/>
  <c r="L20" i="21"/>
  <c r="J20" i="11"/>
  <c r="L27" i="21"/>
  <c r="J28" i="11"/>
  <c r="L10" i="21"/>
  <c r="J10" i="11"/>
  <c r="L17" i="21"/>
  <c r="J17" i="11"/>
  <c r="K26" i="14"/>
  <c r="L9" i="21"/>
  <c r="J9" i="11"/>
  <c r="L12" i="21"/>
  <c r="J12" i="11"/>
  <c r="L16" i="21"/>
  <c r="J16" i="11"/>
  <c r="L19" i="21"/>
  <c r="J19" i="11"/>
  <c r="L21" i="21"/>
  <c r="J21" i="11"/>
  <c r="L24" i="21"/>
  <c r="J24" i="11"/>
  <c r="L5" i="21"/>
  <c r="J4" i="11"/>
  <c r="L13" i="21"/>
  <c r="J13" i="11"/>
  <c r="L22" i="21"/>
  <c r="J22" i="11"/>
  <c r="L7" i="21"/>
  <c r="J6" i="11"/>
  <c r="L14" i="21"/>
  <c r="J14" i="11"/>
  <c r="L28" i="21"/>
  <c r="J29" i="11"/>
  <c r="J31" i="11"/>
  <c r="J26" i="14"/>
  <c r="L33" i="21" l="1"/>
  <c r="L31" i="21" s="1"/>
  <c r="J32" i="11"/>
  <c r="I30" i="11"/>
  <c r="I9" i="11"/>
  <c r="J22" i="13"/>
  <c r="I25" i="11" s="1"/>
  <c r="K19" i="13"/>
  <c r="J21" i="13"/>
  <c r="K24" i="21" s="1"/>
  <c r="J14" i="13"/>
  <c r="K16" i="21" s="1"/>
  <c r="K14" i="13"/>
  <c r="J5" i="13"/>
  <c r="K5" i="21" s="1"/>
  <c r="K5" i="13"/>
  <c r="J6" i="13"/>
  <c r="K7" i="21" s="1"/>
  <c r="K6" i="13"/>
  <c r="J7" i="13"/>
  <c r="K8" i="21" s="1"/>
  <c r="K7" i="13"/>
  <c r="J8" i="13"/>
  <c r="K9" i="21" s="1"/>
  <c r="K8" i="13"/>
  <c r="J9" i="13"/>
  <c r="K10" i="21" s="1"/>
  <c r="K9" i="13"/>
  <c r="J10" i="13"/>
  <c r="K12" i="21" s="1"/>
  <c r="K10" i="13"/>
  <c r="J11" i="13"/>
  <c r="K13" i="21" s="1"/>
  <c r="K11" i="13"/>
  <c r="J12" i="13"/>
  <c r="K14" i="21" s="1"/>
  <c r="K12" i="13"/>
  <c r="J13" i="13"/>
  <c r="K15" i="21" s="1"/>
  <c r="K13" i="13"/>
  <c r="J15" i="13"/>
  <c r="K17" i="21" s="1"/>
  <c r="K15" i="13"/>
  <c r="J16" i="13"/>
  <c r="K19" i="21" s="1"/>
  <c r="K16" i="13"/>
  <c r="J17" i="13"/>
  <c r="K20" i="21" s="1"/>
  <c r="K17" i="13"/>
  <c r="J18" i="13"/>
  <c r="K21" i="21" s="1"/>
  <c r="K18" i="13"/>
  <c r="J19" i="13"/>
  <c r="K22" i="21" s="1"/>
  <c r="K21" i="13"/>
  <c r="J23" i="13"/>
  <c r="K27" i="21" s="1"/>
  <c r="K23" i="13"/>
  <c r="J24" i="13"/>
  <c r="K28" i="21" s="1"/>
  <c r="K24" i="13"/>
  <c r="J25" i="13"/>
  <c r="K25" i="13"/>
  <c r="I26" i="13"/>
  <c r="K30" i="21" s="1"/>
  <c r="H26" i="13"/>
  <c r="G26" i="13"/>
  <c r="F26" i="13"/>
  <c r="E26" i="13"/>
  <c r="I14" i="11" l="1"/>
  <c r="C13" i="12"/>
  <c r="E13" i="12" s="1"/>
  <c r="I19" i="11"/>
  <c r="B13" i="12"/>
  <c r="K29" i="21"/>
  <c r="I4" i="11"/>
  <c r="I24" i="11"/>
  <c r="I10" i="11"/>
  <c r="I15" i="11"/>
  <c r="I20" i="11"/>
  <c r="I27" i="11"/>
  <c r="I6" i="11"/>
  <c r="I12" i="11"/>
  <c r="I16" i="11"/>
  <c r="I21" i="11"/>
  <c r="I28" i="11"/>
  <c r="I31" i="11"/>
  <c r="K25" i="21"/>
  <c r="K26" i="21"/>
  <c r="I7" i="11"/>
  <c r="I13" i="11"/>
  <c r="I17" i="11"/>
  <c r="I22" i="11"/>
  <c r="I29" i="11"/>
  <c r="K26" i="13"/>
  <c r="K33" i="21" s="1"/>
  <c r="K31" i="21" s="1"/>
  <c r="J10" i="12"/>
  <c r="O6" i="12"/>
  <c r="L6" i="12"/>
  <c r="J26" i="13" l="1"/>
  <c r="J34" i="11"/>
  <c r="I32" i="11"/>
  <c r="L25" i="7"/>
  <c r="H26" i="1"/>
  <c r="K17" i="10" l="1"/>
  <c r="I25" i="4"/>
  <c r="F30" i="21" s="1"/>
  <c r="J22" i="4"/>
  <c r="F26" i="21" s="1"/>
  <c r="K9" i="4"/>
  <c r="J9" i="4" s="1"/>
  <c r="K10" i="4"/>
  <c r="J10" i="4" s="1"/>
  <c r="K8" i="4"/>
  <c r="J8" i="4" s="1"/>
  <c r="K7" i="4"/>
  <c r="J7" i="4" s="1"/>
  <c r="F8" i="21" s="1"/>
  <c r="K6" i="4"/>
  <c r="J6" i="4" s="1"/>
  <c r="K5" i="4"/>
  <c r="K14" i="5"/>
  <c r="K7" i="5"/>
  <c r="K24" i="5"/>
  <c r="K8" i="5"/>
  <c r="K5" i="5"/>
  <c r="L8" i="5"/>
  <c r="L24" i="5"/>
  <c r="J24" i="5" s="1"/>
  <c r="J8" i="5"/>
  <c r="K23" i="4"/>
  <c r="J23" i="4" s="1"/>
  <c r="K22" i="4"/>
  <c r="K21" i="4"/>
  <c r="J21" i="4" s="1"/>
  <c r="K18" i="4"/>
  <c r="J18" i="4" s="1"/>
  <c r="K17" i="4"/>
  <c r="J17" i="4" s="1"/>
  <c r="K16" i="4"/>
  <c r="J16" i="4" s="1"/>
  <c r="K15" i="4"/>
  <c r="K12" i="4"/>
  <c r="J12" i="4" s="1"/>
  <c r="K23" i="5"/>
  <c r="K22" i="5"/>
  <c r="K21" i="5"/>
  <c r="K18" i="5"/>
  <c r="K17" i="5"/>
  <c r="K16" i="5"/>
  <c r="K15" i="5"/>
  <c r="K13" i="5"/>
  <c r="K12" i="5"/>
  <c r="K10" i="5"/>
  <c r="K9" i="5"/>
  <c r="K6" i="5"/>
  <c r="K24" i="7"/>
  <c r="K23" i="7"/>
  <c r="K22" i="7"/>
  <c r="K21" i="7"/>
  <c r="K18" i="7"/>
  <c r="K17" i="7"/>
  <c r="K16" i="7"/>
  <c r="K14" i="7"/>
  <c r="K13" i="7"/>
  <c r="K12" i="7"/>
  <c r="K10" i="7"/>
  <c r="K9" i="7"/>
  <c r="K8" i="7"/>
  <c r="K7" i="7"/>
  <c r="K6" i="7"/>
  <c r="K5" i="7"/>
  <c r="K24" i="6"/>
  <c r="K23" i="6"/>
  <c r="K22" i="6"/>
  <c r="K21" i="6"/>
  <c r="K18" i="6"/>
  <c r="K17" i="6"/>
  <c r="K16" i="6"/>
  <c r="K14" i="6"/>
  <c r="K13" i="6"/>
  <c r="K12" i="6"/>
  <c r="K10" i="6"/>
  <c r="K9" i="6"/>
  <c r="K8" i="6"/>
  <c r="K7" i="6"/>
  <c r="K6" i="6"/>
  <c r="K5" i="6"/>
  <c r="K19" i="8"/>
  <c r="K24" i="8"/>
  <c r="K23" i="8"/>
  <c r="K22" i="8"/>
  <c r="K21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5" i="8"/>
  <c r="K12" i="10"/>
  <c r="K23" i="10"/>
  <c r="K16" i="10"/>
  <c r="K23" i="3"/>
  <c r="K17" i="3"/>
  <c r="K16" i="3"/>
  <c r="K12" i="3"/>
  <c r="L7" i="5"/>
  <c r="J7" i="5" s="1"/>
  <c r="L14" i="5"/>
  <c r="J14" i="5" s="1"/>
  <c r="L5" i="5"/>
  <c r="J5" i="5" s="1"/>
  <c r="G5" i="21" s="1"/>
  <c r="M12" i="10"/>
  <c r="J12" i="10" s="1"/>
  <c r="J17" i="10"/>
  <c r="E20" i="21" s="1"/>
  <c r="B6" i="11"/>
  <c r="C6" i="11"/>
  <c r="B7" i="11"/>
  <c r="C7" i="11"/>
  <c r="B9" i="11"/>
  <c r="C9" i="11"/>
  <c r="B10" i="11"/>
  <c r="C10" i="11"/>
  <c r="B12" i="11"/>
  <c r="C12" i="11"/>
  <c r="B13" i="11"/>
  <c r="C13" i="11"/>
  <c r="D13" i="11"/>
  <c r="B15" i="11"/>
  <c r="C15" i="11"/>
  <c r="D15" i="11"/>
  <c r="B16" i="11"/>
  <c r="C16" i="11"/>
  <c r="D16" i="11"/>
  <c r="B17" i="11"/>
  <c r="C17" i="11"/>
  <c r="D17" i="11"/>
  <c r="F17" i="11"/>
  <c r="G17" i="11"/>
  <c r="B21" i="11"/>
  <c r="C21" i="11"/>
  <c r="B22" i="11"/>
  <c r="C22" i="11"/>
  <c r="D22" i="11"/>
  <c r="E22" i="11"/>
  <c r="F22" i="11"/>
  <c r="G22" i="11"/>
  <c r="B24" i="11"/>
  <c r="C24" i="11"/>
  <c r="B27" i="11"/>
  <c r="B29" i="11"/>
  <c r="C29" i="11"/>
  <c r="D29" i="11"/>
  <c r="C4" i="11"/>
  <c r="B4" i="11"/>
  <c r="I25" i="3"/>
  <c r="D30" i="21" s="1"/>
  <c r="H25" i="3"/>
  <c r="G25" i="3"/>
  <c r="F25" i="3"/>
  <c r="E25" i="3"/>
  <c r="F25" i="10"/>
  <c r="G25" i="10"/>
  <c r="H25" i="10"/>
  <c r="I25" i="10"/>
  <c r="E30" i="21" s="1"/>
  <c r="E25" i="10"/>
  <c r="F25" i="4"/>
  <c r="E25" i="4"/>
  <c r="J23" i="10"/>
  <c r="J16" i="10"/>
  <c r="J22" i="10"/>
  <c r="J7" i="6"/>
  <c r="J12" i="6"/>
  <c r="J22" i="6"/>
  <c r="J18" i="6"/>
  <c r="J17" i="6"/>
  <c r="J16" i="6"/>
  <c r="J5" i="6"/>
  <c r="J14" i="6"/>
  <c r="J6" i="6"/>
  <c r="J8" i="6"/>
  <c r="J9" i="6"/>
  <c r="J10" i="6"/>
  <c r="J24" i="6"/>
  <c r="J21" i="6"/>
  <c r="J23" i="6"/>
  <c r="E25" i="6"/>
  <c r="F25" i="6"/>
  <c r="G25" i="6"/>
  <c r="H25" i="6"/>
  <c r="I25" i="6"/>
  <c r="I30" i="21" s="1"/>
  <c r="G13" i="11"/>
  <c r="J13" i="6"/>
  <c r="J12" i="5"/>
  <c r="J22" i="5"/>
  <c r="J18" i="5"/>
  <c r="J17" i="5"/>
  <c r="J16" i="5"/>
  <c r="J6" i="5"/>
  <c r="J9" i="5"/>
  <c r="J10" i="5"/>
  <c r="J21" i="5"/>
  <c r="J23" i="5"/>
  <c r="E25" i="5"/>
  <c r="F25" i="5"/>
  <c r="G25" i="5"/>
  <c r="H25" i="5"/>
  <c r="I25" i="5"/>
  <c r="G30" i="21" s="1"/>
  <c r="E13" i="11"/>
  <c r="J13" i="5"/>
  <c r="J15" i="5"/>
  <c r="G25" i="4"/>
  <c r="H25" i="4"/>
  <c r="F25" i="7"/>
  <c r="E25" i="7"/>
  <c r="H29" i="21" s="1"/>
  <c r="I25" i="7"/>
  <c r="H30" i="21" s="1"/>
  <c r="J13" i="7"/>
  <c r="F13" i="11"/>
  <c r="H25" i="7"/>
  <c r="G25" i="7"/>
  <c r="J23" i="7"/>
  <c r="J21" i="7"/>
  <c r="J24" i="7"/>
  <c r="J10" i="7"/>
  <c r="J9" i="7"/>
  <c r="J8" i="7"/>
  <c r="J6" i="7"/>
  <c r="J14" i="7"/>
  <c r="J5" i="7"/>
  <c r="J16" i="7"/>
  <c r="J17" i="7"/>
  <c r="J18" i="7"/>
  <c r="J22" i="7"/>
  <c r="J12" i="7"/>
  <c r="J7" i="7"/>
  <c r="I25" i="8"/>
  <c r="J30" i="21" s="1"/>
  <c r="H25" i="8"/>
  <c r="G25" i="8"/>
  <c r="F25" i="8"/>
  <c r="E25" i="8"/>
  <c r="J23" i="8"/>
  <c r="J21" i="8"/>
  <c r="J24" i="8"/>
  <c r="J10" i="8"/>
  <c r="J9" i="8"/>
  <c r="J8" i="8"/>
  <c r="J6" i="8"/>
  <c r="J5" i="8"/>
  <c r="J14" i="8"/>
  <c r="J19" i="8"/>
  <c r="J16" i="8"/>
  <c r="J15" i="8"/>
  <c r="J13" i="8"/>
  <c r="J17" i="8"/>
  <c r="J18" i="8"/>
  <c r="J11" i="8"/>
  <c r="J22" i="8"/>
  <c r="J12" i="8"/>
  <c r="J7" i="8"/>
  <c r="J16" i="3"/>
  <c r="J17" i="3"/>
  <c r="J23" i="3"/>
  <c r="J12" i="3"/>
  <c r="J57" i="2"/>
  <c r="J56" i="2"/>
  <c r="J45" i="2"/>
  <c r="K16" i="2"/>
  <c r="J16" i="2"/>
  <c r="J55" i="2"/>
  <c r="I53" i="2"/>
  <c r="H53" i="2"/>
  <c r="G53" i="2"/>
  <c r="F53" i="2"/>
  <c r="E53" i="2"/>
  <c r="J52" i="2"/>
  <c r="J51" i="2"/>
  <c r="J50" i="2"/>
  <c r="J49" i="2"/>
  <c r="J48" i="2"/>
  <c r="J47" i="2"/>
  <c r="J46" i="2"/>
  <c r="J44" i="2"/>
  <c r="J43" i="2"/>
  <c r="J42" i="2"/>
  <c r="J41" i="2"/>
  <c r="J40" i="2"/>
  <c r="J39" i="2"/>
  <c r="J38" i="2"/>
  <c r="K15" i="2"/>
  <c r="K7" i="2"/>
  <c r="K8" i="2"/>
  <c r="K9" i="2"/>
  <c r="K10" i="2"/>
  <c r="K11" i="2"/>
  <c r="K12" i="2"/>
  <c r="K13" i="2"/>
  <c r="K14" i="2"/>
  <c r="K17" i="2"/>
  <c r="K18" i="2"/>
  <c r="K19" i="2"/>
  <c r="K20" i="2"/>
  <c r="K21" i="2"/>
  <c r="K22" i="2"/>
  <c r="K23" i="2"/>
  <c r="K24" i="2"/>
  <c r="K6" i="2"/>
  <c r="I25" i="2"/>
  <c r="F25" i="2"/>
  <c r="F26" i="2" s="1"/>
  <c r="G25" i="2"/>
  <c r="G26" i="2" s="1"/>
  <c r="H25" i="2"/>
  <c r="H26" i="2" s="1"/>
  <c r="E25" i="2"/>
  <c r="E26" i="2" s="1"/>
  <c r="J15" i="2"/>
  <c r="J7" i="2"/>
  <c r="J8" i="2"/>
  <c r="J9" i="2"/>
  <c r="J10" i="2"/>
  <c r="J11" i="2"/>
  <c r="J12" i="2"/>
  <c r="J13" i="2"/>
  <c r="J14" i="2"/>
  <c r="J17" i="2"/>
  <c r="J18" i="2"/>
  <c r="J19" i="2"/>
  <c r="J20" i="2"/>
  <c r="J21" i="2"/>
  <c r="J22" i="2"/>
  <c r="J23" i="2"/>
  <c r="J24" i="2"/>
  <c r="J6" i="2"/>
  <c r="F19" i="21" l="1"/>
  <c r="D19" i="11"/>
  <c r="B7" i="12"/>
  <c r="E29" i="21"/>
  <c r="B6" i="12"/>
  <c r="D29" i="21"/>
  <c r="K25" i="4"/>
  <c r="B12" i="12"/>
  <c r="J29" i="21"/>
  <c r="B9" i="12"/>
  <c r="G29" i="21"/>
  <c r="B8" i="12"/>
  <c r="F29" i="21"/>
  <c r="D31" i="11"/>
  <c r="B11" i="12"/>
  <c r="I29" i="21"/>
  <c r="D27" i="11"/>
  <c r="F14" i="21"/>
  <c r="D14" i="11"/>
  <c r="F21" i="21"/>
  <c r="D21" i="11"/>
  <c r="F33" i="21"/>
  <c r="D32" i="11"/>
  <c r="J25" i="4"/>
  <c r="D30" i="11" s="1"/>
  <c r="F12" i="21"/>
  <c r="D12" i="11"/>
  <c r="F24" i="21"/>
  <c r="D24" i="11"/>
  <c r="F7" i="21"/>
  <c r="D6" i="11"/>
  <c r="F10" i="21"/>
  <c r="D10" i="11"/>
  <c r="F20" i="21"/>
  <c r="D20" i="11"/>
  <c r="F27" i="21"/>
  <c r="D28" i="11"/>
  <c r="F9" i="21"/>
  <c r="D9" i="11"/>
  <c r="J53" i="2"/>
  <c r="H14" i="11"/>
  <c r="J14" i="21"/>
  <c r="H22" i="11"/>
  <c r="J22" i="21"/>
  <c r="H9" i="11"/>
  <c r="J9" i="21"/>
  <c r="F14" i="11"/>
  <c r="H14" i="21"/>
  <c r="F19" i="11"/>
  <c r="H19" i="21"/>
  <c r="F9" i="11"/>
  <c r="H9" i="21"/>
  <c r="F24" i="11"/>
  <c r="H24" i="21"/>
  <c r="E15" i="11"/>
  <c r="G15" i="21"/>
  <c r="E24" i="11"/>
  <c r="G24" i="21"/>
  <c r="E19" i="11"/>
  <c r="G19" i="21"/>
  <c r="E14" i="11"/>
  <c r="G14" i="21"/>
  <c r="G28" i="11"/>
  <c r="I27" i="21"/>
  <c r="G10" i="11"/>
  <c r="I10" i="21"/>
  <c r="G4" i="11"/>
  <c r="I5" i="21"/>
  <c r="G27" i="11"/>
  <c r="I26" i="21"/>
  <c r="C19" i="11"/>
  <c r="E19" i="21"/>
  <c r="B20" i="11"/>
  <c r="D20" i="21"/>
  <c r="H16" i="11"/>
  <c r="J16" i="21"/>
  <c r="F10" i="11"/>
  <c r="H10" i="21"/>
  <c r="F15" i="11"/>
  <c r="H15" i="21"/>
  <c r="E12" i="11"/>
  <c r="G12" i="21"/>
  <c r="G15" i="11"/>
  <c r="I15" i="21"/>
  <c r="G24" i="11"/>
  <c r="I24" i="21"/>
  <c r="G19" i="11"/>
  <c r="I19" i="21"/>
  <c r="C28" i="11"/>
  <c r="E27" i="21"/>
  <c r="E16" i="11"/>
  <c r="G16" i="21"/>
  <c r="H13" i="11"/>
  <c r="J13" i="21"/>
  <c r="H4" i="11"/>
  <c r="J5" i="21"/>
  <c r="H12" i="11"/>
  <c r="J12" i="21"/>
  <c r="C12" i="12"/>
  <c r="E12" i="12" s="1"/>
  <c r="F21" i="11"/>
  <c r="H21" i="21"/>
  <c r="F12" i="11"/>
  <c r="H12" i="21"/>
  <c r="F31" i="11"/>
  <c r="C10" i="12"/>
  <c r="E10" i="12" s="1"/>
  <c r="C9" i="12"/>
  <c r="E9" i="12" s="1"/>
  <c r="E10" i="11"/>
  <c r="G10" i="21"/>
  <c r="E21" i="11"/>
  <c r="G21" i="21"/>
  <c r="G29" i="11"/>
  <c r="I28" i="21"/>
  <c r="G6" i="11"/>
  <c r="I7" i="21"/>
  <c r="G20" i="11"/>
  <c r="I20" i="21"/>
  <c r="G7" i="11"/>
  <c r="I8" i="21"/>
  <c r="J25" i="3"/>
  <c r="B30" i="11" s="1"/>
  <c r="E4" i="11"/>
  <c r="C14" i="11"/>
  <c r="E14" i="21"/>
  <c r="E7" i="11"/>
  <c r="G8" i="21"/>
  <c r="E29" i="11"/>
  <c r="G28" i="21"/>
  <c r="F31" i="21"/>
  <c r="C8" i="12"/>
  <c r="E8" i="12" s="1"/>
  <c r="B28" i="11"/>
  <c r="D27" i="21"/>
  <c r="H20" i="11"/>
  <c r="J20" i="21"/>
  <c r="H24" i="11"/>
  <c r="J24" i="21"/>
  <c r="H27" i="11"/>
  <c r="J26" i="21"/>
  <c r="H15" i="11"/>
  <c r="J15" i="21"/>
  <c r="H10" i="11"/>
  <c r="J10" i="21"/>
  <c r="H28" i="11"/>
  <c r="J27" i="21"/>
  <c r="F27" i="11"/>
  <c r="H26" i="21"/>
  <c r="F4" i="11"/>
  <c r="H5" i="21"/>
  <c r="F28" i="11"/>
  <c r="H27" i="21"/>
  <c r="E20" i="11"/>
  <c r="G20" i="21"/>
  <c r="G9" i="11"/>
  <c r="I9" i="21"/>
  <c r="G14" i="11"/>
  <c r="I14" i="21"/>
  <c r="C31" i="11"/>
  <c r="C7" i="12"/>
  <c r="E7" i="12" s="1"/>
  <c r="K25" i="10"/>
  <c r="E9" i="11"/>
  <c r="G9" i="21"/>
  <c r="J5" i="4"/>
  <c r="B19" i="11"/>
  <c r="D19" i="21"/>
  <c r="H17" i="11"/>
  <c r="J17" i="21"/>
  <c r="F16" i="11"/>
  <c r="H16" i="21"/>
  <c r="B14" i="11"/>
  <c r="D14" i="21"/>
  <c r="H7" i="11"/>
  <c r="J8" i="21"/>
  <c r="H21" i="11"/>
  <c r="J21" i="21"/>
  <c r="H19" i="11"/>
  <c r="J19" i="21"/>
  <c r="H6" i="11"/>
  <c r="J7" i="21"/>
  <c r="H29" i="11"/>
  <c r="J28" i="21"/>
  <c r="F7" i="11"/>
  <c r="H8" i="21"/>
  <c r="F20" i="11"/>
  <c r="H20" i="21"/>
  <c r="F6" i="11"/>
  <c r="H7" i="21"/>
  <c r="F29" i="11"/>
  <c r="H28" i="21"/>
  <c r="E17" i="11"/>
  <c r="G17" i="21"/>
  <c r="E28" i="11"/>
  <c r="G27" i="21"/>
  <c r="E6" i="11"/>
  <c r="G7" i="21"/>
  <c r="E27" i="11"/>
  <c r="G26" i="21"/>
  <c r="C11" i="12"/>
  <c r="E11" i="12" s="1"/>
  <c r="G12" i="11"/>
  <c r="I12" i="21"/>
  <c r="G16" i="11"/>
  <c r="I16" i="21"/>
  <c r="G21" i="11"/>
  <c r="I21" i="21"/>
  <c r="C27" i="11"/>
  <c r="E26" i="21"/>
  <c r="C20" i="11"/>
  <c r="D7" i="11"/>
  <c r="B31" i="11"/>
  <c r="C6" i="12"/>
  <c r="E6" i="12" s="1"/>
  <c r="K25" i="6"/>
  <c r="J25" i="6" s="1"/>
  <c r="G30" i="11" s="1"/>
  <c r="K25" i="3"/>
  <c r="K25" i="7"/>
  <c r="E31" i="11"/>
  <c r="H31" i="11"/>
  <c r="G31" i="11"/>
  <c r="K25" i="5"/>
  <c r="K25" i="8"/>
  <c r="J33" i="21" s="1"/>
  <c r="J74" i="2"/>
  <c r="J71" i="2"/>
  <c r="J73" i="2"/>
  <c r="K25" i="2"/>
  <c r="J25" i="2" s="1"/>
  <c r="J72" i="2" s="1"/>
  <c r="I26" i="2"/>
  <c r="J26" i="2" s="1"/>
  <c r="D34" i="11" l="1"/>
  <c r="C32" i="11"/>
  <c r="C34" i="11" s="1"/>
  <c r="E33" i="21"/>
  <c r="F5" i="21"/>
  <c r="D4" i="11"/>
  <c r="E32" i="11"/>
  <c r="E34" i="11" s="1"/>
  <c r="G33" i="21"/>
  <c r="G31" i="21" s="1"/>
  <c r="F32" i="11"/>
  <c r="F34" i="11" s="1"/>
  <c r="H33" i="21"/>
  <c r="H31" i="21" s="1"/>
  <c r="B32" i="11"/>
  <c r="B34" i="11" s="1"/>
  <c r="D33" i="21"/>
  <c r="D31" i="21" s="1"/>
  <c r="J25" i="10"/>
  <c r="C30" i="11" s="1"/>
  <c r="E31" i="21"/>
  <c r="J31" i="21"/>
  <c r="G32" i="11"/>
  <c r="G34" i="11" s="1"/>
  <c r="I33" i="21"/>
  <c r="I31" i="21" s="1"/>
  <c r="J25" i="7"/>
  <c r="F30" i="11" s="1"/>
  <c r="J25" i="5"/>
  <c r="E30" i="11" s="1"/>
  <c r="H32" i="11"/>
  <c r="J25" i="8"/>
  <c r="H30" i="11" s="1"/>
  <c r="H34" i="11" l="1"/>
  <c r="I34" i="11"/>
</calcChain>
</file>

<file path=xl/sharedStrings.xml><?xml version="1.0" encoding="utf-8"?>
<sst xmlns="http://schemas.openxmlformats.org/spreadsheetml/2006/main" count="1872" uniqueCount="244">
  <si>
    <t>Canandaigua_Wind_Power</t>
  </si>
  <si>
    <t>C</t>
  </si>
  <si>
    <t>Avoca</t>
  </si>
  <si>
    <t>WT</t>
  </si>
  <si>
    <t>WND</t>
  </si>
  <si>
    <t>Fenner_Wind_Power</t>
  </si>
  <si>
    <t>Fenner</t>
  </si>
  <si>
    <t>Steel_Wind</t>
  </si>
  <si>
    <t>A</t>
  </si>
  <si>
    <t>Lackawanna</t>
  </si>
  <si>
    <t>Erie_Wind</t>
  </si>
  <si>
    <t>Maple_Ridge_Wind_2</t>
  </si>
  <si>
    <t>E</t>
  </si>
  <si>
    <t>Lowville</t>
  </si>
  <si>
    <t>Maple_Ridge_Wind_1</t>
  </si>
  <si>
    <t>Hardscrabble_Wind</t>
  </si>
  <si>
    <t>Fairfield</t>
  </si>
  <si>
    <t>Howard_Wind</t>
  </si>
  <si>
    <t>Howard</t>
  </si>
  <si>
    <t>Madison_Wind_Power</t>
  </si>
  <si>
    <t>Madison</t>
  </si>
  <si>
    <t>Marble_River_Wind</t>
  </si>
  <si>
    <t>D</t>
  </si>
  <si>
    <t>Ellenburg</t>
  </si>
  <si>
    <t>Altona_Wind_Power</t>
  </si>
  <si>
    <t>Altona</t>
  </si>
  <si>
    <t>Bliss_Wind_Power</t>
  </si>
  <si>
    <t>Bliss</t>
  </si>
  <si>
    <t>Chateaugay_Wind_Power</t>
  </si>
  <si>
    <t>Chateaugay</t>
  </si>
  <si>
    <t>Clinton_Wind_Power</t>
  </si>
  <si>
    <t>Clinton</t>
  </si>
  <si>
    <t>Ellenburg_Wind_Power</t>
  </si>
  <si>
    <t>Wethersfield_Wind_Power</t>
  </si>
  <si>
    <t>Wethersfield</t>
  </si>
  <si>
    <t>Munnsville_Wind_Power</t>
  </si>
  <si>
    <t>Bouckville</t>
  </si>
  <si>
    <t>Western_NY_Wind_Power</t>
  </si>
  <si>
    <t>B</t>
  </si>
  <si>
    <t>Station</t>
  </si>
  <si>
    <t>Zone</t>
  </si>
  <si>
    <t>PTID</t>
  </si>
  <si>
    <t>Town</t>
  </si>
  <si>
    <t>County</t>
  </si>
  <si>
    <t>State</t>
  </si>
  <si>
    <t>In-Service</t>
  </si>
  <si>
    <t>Date</t>
  </si>
  <si>
    <t>Name Plate</t>
  </si>
  <si>
    <t>Rating (MW)</t>
  </si>
  <si>
    <t xml:space="preserve">CRIS Sum </t>
  </si>
  <si>
    <t>Cap. (MW)</t>
  </si>
  <si>
    <t>2013 Capability</t>
  </si>
  <si>
    <t>Summer</t>
  </si>
  <si>
    <t>Winter</t>
  </si>
  <si>
    <t>Unit</t>
  </si>
  <si>
    <t>Type</t>
  </si>
  <si>
    <t>Code</t>
  </si>
  <si>
    <t>2012 Net</t>
  </si>
  <si>
    <t>Emergy (GWh)</t>
  </si>
  <si>
    <t>Notes</t>
  </si>
  <si>
    <t>http://www.nyiso.com/public/webdocs/markets_operations/services/planning/Documents_and_Resources/Planning_Data_and_Reference_Docs/Data_and_Reference_Docs/2013_GoldBook.pdf</t>
  </si>
  <si>
    <t>Wind Energy Facilities in New York - 2012 Data</t>
  </si>
  <si>
    <t>Unit produced power during months Jul - Dec, 2012.</t>
  </si>
  <si>
    <t>NY 2012 Wind Facilities in the Gold Book</t>
  </si>
  <si>
    <t xml:space="preserve">Capacity </t>
  </si>
  <si>
    <t>Factor</t>
  </si>
  <si>
    <t>State Wide Totals</t>
  </si>
  <si>
    <t>Total without Marble River</t>
  </si>
  <si>
    <t>2007 Capability</t>
  </si>
  <si>
    <t>2006 Net</t>
  </si>
  <si>
    <t>No 2006 generation</t>
  </si>
  <si>
    <t>Wind Generators - Sum Rating = 10% of Nameplate, Win Rating = 30% of Nameplate</t>
  </si>
  <si>
    <t>2011 Net</t>
  </si>
  <si>
    <t>High Sheldon Wind Farm</t>
  </si>
  <si>
    <t>Sheldon</t>
  </si>
  <si>
    <t>2012 Capability</t>
  </si>
  <si>
    <t>2010 Net</t>
  </si>
  <si>
    <t>NY 2012 Wind Facilities in the 2013 Gold Book</t>
  </si>
  <si>
    <t>NY 2011 Wind Facilities in the 2012 Gold Book</t>
  </si>
  <si>
    <t>NY 2010 Wind Facilities in the 2011 Gold Book</t>
  </si>
  <si>
    <t>NY 2009 Wind Facilities in the 2010 Gold Book</t>
  </si>
  <si>
    <t>NY 2008 Wind Facilities in the 2009 Gold Book</t>
  </si>
  <si>
    <t>NY 2006 Wind Facilities in the 2007 Gold Book</t>
  </si>
  <si>
    <t>NY 2007 Wind Facilities in the 2008 Gold Book</t>
  </si>
  <si>
    <t>Feb - Dec 2009</t>
  </si>
  <si>
    <t>August - December 2009</t>
  </si>
  <si>
    <t>March - December 2009</t>
  </si>
  <si>
    <t>Oct to Dec 2007</t>
  </si>
  <si>
    <t>Station total</t>
  </si>
  <si>
    <t>2008 Net</t>
  </si>
  <si>
    <t>2009 Net</t>
  </si>
  <si>
    <t>State Wide Annual Capacity GWh</t>
  </si>
  <si>
    <t>State Average Capacity Factor</t>
  </si>
  <si>
    <t>Annual</t>
  </si>
  <si>
    <t>Capacity</t>
  </si>
  <si>
    <t>Generation (Nov-Dec 2008).</t>
  </si>
  <si>
    <t>Generation (Dec 2008).</t>
  </si>
  <si>
    <t>Generation (Mar-Dec 2008).</t>
  </si>
  <si>
    <t>Generation (Apr-Dec 2008).</t>
  </si>
  <si>
    <t>140 Vestas V82 1.65 MW turbines</t>
  </si>
  <si>
    <t>55 Vestas V82 1.65 MW turbines</t>
  </si>
  <si>
    <t>10 Vestas V-47 wind turbines rated at 660 kW each</t>
  </si>
  <si>
    <t>65 GE 1.5 MW turbines.</t>
  </si>
  <si>
    <t>71 GE 1.5 MW turbines.</t>
  </si>
  <si>
    <t>67 GE 1.5 MW turbines</t>
  </si>
  <si>
    <t>54 GE 1.5 MW turbines.</t>
  </si>
  <si>
    <t>84 GE 1.5 MW turbines</t>
  </si>
  <si>
    <t xml:space="preserve">6 2.5-MW Liberty Series </t>
  </si>
  <si>
    <t>8 2.5 MW wind turbines</t>
  </si>
  <si>
    <t>20 1.5 MW</t>
  </si>
  <si>
    <t>37 1.5 MW</t>
  </si>
  <si>
    <t>27 REpower MM92 turbines each with a nameplate rating of 2.05 MW</t>
  </si>
  <si>
    <t>7 Vestas 1.65 MW</t>
  </si>
  <si>
    <t xml:space="preserve">23 GE 1.5 XLE Wind Turbine </t>
  </si>
  <si>
    <t xml:space="preserve">10 Vestas V-47 wind turbines rated at 660 kW </t>
  </si>
  <si>
    <t>109 2MW model G90 manufactured by Gamesa Eolica</t>
  </si>
  <si>
    <t>Year</t>
  </si>
  <si>
    <t>Name Plate Wind</t>
  </si>
  <si>
    <t>Capacity (MW)</t>
  </si>
  <si>
    <t>Net Energy</t>
  </si>
  <si>
    <t>(Gwh)</t>
  </si>
  <si>
    <t>AVERT Reduction</t>
  </si>
  <si>
    <t>Profile (GWh)</t>
  </si>
  <si>
    <t>NYISO Observed Data</t>
  </si>
  <si>
    <t>Observed to</t>
  </si>
  <si>
    <t>Predicted</t>
  </si>
  <si>
    <t>Percentage</t>
  </si>
  <si>
    <t xml:space="preserve">Currently entered </t>
  </si>
  <si>
    <t>reduction profile GWH</t>
  </si>
  <si>
    <t xml:space="preserve">Percentage of regional </t>
  </si>
  <si>
    <t xml:space="preserve">fossil load </t>
  </si>
  <si>
    <t>Scenario</t>
  </si>
  <si>
    <t>Regional Fossil</t>
  </si>
  <si>
    <t>Scenario Wind</t>
  </si>
  <si>
    <t>EWITS Wind</t>
  </si>
  <si>
    <t>NYISO</t>
  </si>
  <si>
    <t>Load GWh</t>
  </si>
  <si>
    <t>Gas</t>
  </si>
  <si>
    <t>Oil &amp; Gas</t>
  </si>
  <si>
    <t xml:space="preserve">Oil  </t>
  </si>
  <si>
    <t>Coal</t>
  </si>
  <si>
    <t>EWITS</t>
  </si>
  <si>
    <t>Observed GWh</t>
  </si>
  <si>
    <t>NY 2013 Wind Facilities in the 2014 Gold Book</t>
  </si>
  <si>
    <t>Orangeville_Wind_Farm</t>
  </si>
  <si>
    <t>Orangeville</t>
  </si>
  <si>
    <t>Unit produced power 12/13</t>
  </si>
  <si>
    <t>NY 2014 Wind Facilities in the 2015 Gold Book</t>
  </si>
  <si>
    <t>2014 Net</t>
  </si>
  <si>
    <t>2015 Capability</t>
  </si>
  <si>
    <t>Marsh Hill Wind Farm</t>
  </si>
  <si>
    <t>Jasper</t>
  </si>
  <si>
    <r>
      <t>Ball Hill Wind Farm, Western New York:</t>
    </r>
    <r>
      <rPr>
        <sz val="12"/>
        <color theme="1"/>
        <rFont val="Times New Roman"/>
        <family val="1"/>
      </rPr>
      <t xml:space="preserve"> RES America Developments Inc. will build a 100-megawatt wind farm in Chautauqua County, in the towns of Villenova and Hanover.</t>
    </r>
  </si>
  <si>
    <r>
      <t>Orbit Energy NYC, New York City:</t>
    </r>
    <r>
      <rPr>
        <sz val="12"/>
        <color theme="1"/>
        <rFont val="Times New Roman"/>
        <family val="1"/>
      </rPr>
      <t xml:space="preserve"> Orbit Energy Inc. will build a 9.6-megawatt anaerobic digestion biogas-to-electricity facility in Staten Island </t>
    </r>
  </si>
  <si>
    <r>
      <t>Lyons Falls Mill Hydro, North Country:</t>
    </r>
    <r>
      <rPr>
        <sz val="12"/>
        <color theme="1"/>
        <rFont val="Times New Roman"/>
        <family val="1"/>
      </rPr>
      <t xml:space="preserve"> Northbrook Lyons Falls LLC will add 5.2 megawatts to an existing hydroelectric facility in Lewis County</t>
    </r>
  </si>
  <si>
    <r>
      <t>Morgan Stanley Headquarters, New York City:</t>
    </r>
    <r>
      <rPr>
        <sz val="12"/>
        <color theme="1"/>
        <rFont val="Times New Roman"/>
        <family val="1"/>
      </rPr>
      <t xml:space="preserve"> Morgan Stanley will install a 790-kilowatt fuel cell in its Manhattan offices</t>
    </r>
  </si>
  <si>
    <r>
      <t>Fulton Unit 2, Central New York:</t>
    </r>
    <r>
      <rPr>
        <sz val="12"/>
        <color theme="1"/>
        <rFont val="Times New Roman"/>
        <family val="1"/>
      </rPr>
      <t xml:space="preserve"> Erie Boulevard Hydropower LP, a subsidiary of Brookfield Renewable Energy Group, will install a new 560-kilowatt minimum flow turbin</t>
    </r>
  </si>
  <si>
    <t>MW</t>
  </si>
  <si>
    <t>MWh</t>
  </si>
  <si>
    <t>Lyons Falls Mill Hydro - existing</t>
  </si>
  <si>
    <t>New York home site consumption kwh per year</t>
  </si>
  <si>
    <t>The state has awarded $175 million to support five large-scale clean energy projects, it announced Wednesday.</t>
  </si>
  <si>
    <t>there are hidden tabs in this spreadsheet</t>
  </si>
  <si>
    <t xml:space="preserve">(http://www.nrel.gov/wind/systemsintegration/ewits.html) </t>
  </si>
  <si>
    <t xml:space="preserve">The wind data projected wind potential for 66 on-shore sites in New York State with a total of 14,500 MW </t>
  </si>
  <si>
    <t>NY 2015 Wind Facilities in the 2016 Gold Book</t>
  </si>
  <si>
    <t>2016 Capability</t>
  </si>
  <si>
    <t>2015 Net</t>
  </si>
  <si>
    <t>NY 2016 Wind Facilities in the 2017 Gold Book</t>
  </si>
  <si>
    <t>2017 Capability</t>
  </si>
  <si>
    <t>2016 Net</t>
  </si>
  <si>
    <t>Jericho_Rise_Wind</t>
  </si>
  <si>
    <t>New York State Wind Facility Net Energy GWh</t>
  </si>
  <si>
    <t>NY 2017 Wind Facilities in the 2018 Gold Book</t>
  </si>
  <si>
    <t>2018 Capability</t>
  </si>
  <si>
    <t>2017 Net</t>
  </si>
  <si>
    <t>2006 Trend</t>
  </si>
  <si>
    <t>NY 2018 Wind Facilities in the 2019 Gold Book</t>
  </si>
  <si>
    <t>2019 Capability</t>
  </si>
  <si>
    <t>2018 Net</t>
  </si>
  <si>
    <t>Copenhagen_Wind_Farm</t>
  </si>
  <si>
    <t>Copenhagen</t>
  </si>
  <si>
    <t>Arkwright_Summit_Wind_Farm</t>
  </si>
  <si>
    <t>Arkwright</t>
  </si>
  <si>
    <t>State Wide Net Energy GWh</t>
  </si>
  <si>
    <t>Annual Capacity Factors</t>
  </si>
  <si>
    <t>Without new facilities</t>
  </si>
  <si>
    <t>New York State Wind Facility Status  Based on NYISO Gold Book Table III-2 Existing Generating Facilities Table Data</t>
  </si>
  <si>
    <t>https://www.dansvilleonline.com/news/20200121/blade-breaks-off-wind-turbine-in-cohocton</t>
  </si>
  <si>
    <t>https://en.wikipedia.org/wiki/Dutch_Hill/Cohocton_Wind_Farm</t>
  </si>
  <si>
    <t>NY 2019 Wind Facilities in the 2020 Gold Book</t>
  </si>
  <si>
    <t>2020 Capability</t>
  </si>
  <si>
    <t>2019 Net</t>
  </si>
  <si>
    <t>Check</t>
  </si>
  <si>
    <t>Altona Wind Power</t>
  </si>
  <si>
    <t>Arkwright Summit Wind Farm</t>
  </si>
  <si>
    <t>Bliss Wind Power</t>
  </si>
  <si>
    <t>Canandaigua Wind Power</t>
  </si>
  <si>
    <t>Chateaugay Wind Power</t>
  </si>
  <si>
    <t>Clinton Wind Power</t>
  </si>
  <si>
    <t>Copenhagen Wind Farm</t>
  </si>
  <si>
    <t>Ellenburg Wind Power</t>
  </si>
  <si>
    <t>Erie Wind</t>
  </si>
  <si>
    <t>Fenner Wind Power</t>
  </si>
  <si>
    <t>Hardscrabble Wind</t>
  </si>
  <si>
    <t>Howard Wind</t>
  </si>
  <si>
    <t>Jericho Rise Wind</t>
  </si>
  <si>
    <t>Madison Wind Power</t>
  </si>
  <si>
    <t>Maple Ridge Wind 1</t>
  </si>
  <si>
    <t>Maple Ridge Wind 2</t>
  </si>
  <si>
    <t>Marble River Wind</t>
  </si>
  <si>
    <t>Munnsville Wind Power</t>
  </si>
  <si>
    <t>Orangeville Wind Farm</t>
  </si>
  <si>
    <t>Steel Wind</t>
  </si>
  <si>
    <t>Western NY Wind Power</t>
  </si>
  <si>
    <t>Wethersfield Wind Power</t>
  </si>
  <si>
    <t>Hub</t>
  </si>
  <si>
    <t>Height</t>
  </si>
  <si>
    <t>Rotor</t>
  </si>
  <si>
    <t>Diameter</t>
  </si>
  <si>
    <t>Vestas IEC IIIA</t>
  </si>
  <si>
    <t> V110-2.0 MW</t>
  </si>
  <si>
    <t>Vestas V66-1.65 MW wind turbines</t>
  </si>
  <si>
    <t>Tip</t>
  </si>
  <si>
    <t>Height (ft)</t>
  </si>
  <si>
    <t>data in meters</t>
  </si>
  <si>
    <t>Gamesa G114 2.1 MW wind turbines</t>
  </si>
  <si>
    <t xml:space="preserve"> GE Energy 1.6-100 </t>
  </si>
  <si>
    <t xml:space="preserve"> GE Energy 1.5sle </t>
  </si>
  <si>
    <t>State Wide Total Capacity (MW)</t>
  </si>
  <si>
    <t>Canisteo</t>
  </si>
  <si>
    <t>NY 2020 Wind Facilities in the 2021 Gold Book</t>
  </si>
  <si>
    <t>2021 Capability</t>
  </si>
  <si>
    <t>2020 Net</t>
  </si>
  <si>
    <t>Energy (GWh)</t>
  </si>
  <si>
    <t>In-Service Date</t>
  </si>
  <si>
    <t>NY 2021 Wind Facilities in the 2022 Gold Book</t>
  </si>
  <si>
    <t>2022 Capability</t>
  </si>
  <si>
    <t>2021 Net</t>
  </si>
  <si>
    <t>Cassadaga_Wind</t>
  </si>
  <si>
    <t>Charlotte</t>
  </si>
  <si>
    <t>Roaring_Brook_Wind</t>
  </si>
  <si>
    <t>Martingsburg</t>
  </si>
  <si>
    <t>New York State Wind Facility Capacity Factors Based on NYISO "Gold Book" Load &amp; Capacity Data Reports Table III-1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</si>
</sst>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"/>
    <numFmt numFmtId="166" formatCode="#,##0.0"/>
    <numFmt numFmtId="167" formatCode="yyyy\-mm\-dd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00000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sz val="10"/>
      <color rgb="FF333333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</cellStyleXfs>
  <cellXfs count="97">
    <xf numFmtId="0" fontId="0" fillId="0" borderId="0" xfId="0"/>
    <xf numFmtId="0" fontId="16" fillId="0" borderId="11" xfId="0" applyFont="1" applyBorder="1"/>
    <xf numFmtId="0" fontId="16" fillId="0" borderId="12" xfId="0" applyFont="1" applyBorder="1"/>
    <xf numFmtId="0" fontId="0" fillId="0" borderId="10" xfId="0" applyBorder="1"/>
    <xf numFmtId="14" fontId="0" fillId="0" borderId="10" xfId="0" applyNumberFormat="1" applyBorder="1"/>
    <xf numFmtId="0" fontId="0" fillId="0" borderId="0" xfId="0" applyBorder="1"/>
    <xf numFmtId="164" fontId="0" fillId="0" borderId="10" xfId="1" applyNumberFormat="1" applyFont="1" applyBorder="1"/>
    <xf numFmtId="0" fontId="0" fillId="0" borderId="10" xfId="0" applyBorder="1" applyAlignment="1">
      <alignment horizontal="right"/>
    </xf>
    <xf numFmtId="0" fontId="0" fillId="0" borderId="10" xfId="0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1" xfId="0" applyFont="1" applyFill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12" xfId="0" applyFont="1" applyFill="1" applyBorder="1" applyAlignment="1">
      <alignment horizontal="center"/>
    </xf>
    <xf numFmtId="0" fontId="0" fillId="0" borderId="10" xfId="0" applyFill="1" applyBorder="1" applyAlignment="1">
      <alignment horizontal="right"/>
    </xf>
    <xf numFmtId="0" fontId="0" fillId="33" borderId="10" xfId="0" applyFill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/>
    </xf>
    <xf numFmtId="14" fontId="0" fillId="0" borderId="0" xfId="0" applyNumberFormat="1" applyBorder="1"/>
    <xf numFmtId="164" fontId="0" fillId="0" borderId="0" xfId="1" applyNumberFormat="1" applyFont="1" applyBorder="1"/>
    <xf numFmtId="14" fontId="0" fillId="33" borderId="10" xfId="0" applyNumberFormat="1" applyFill="1" applyBorder="1"/>
    <xf numFmtId="0" fontId="0" fillId="0" borderId="10" xfId="0" applyFill="1" applyBorder="1"/>
    <xf numFmtId="165" fontId="0" fillId="0" borderId="10" xfId="0" applyNumberFormat="1" applyBorder="1"/>
    <xf numFmtId="165" fontId="0" fillId="0" borderId="10" xfId="0" applyNumberFormat="1" applyFill="1" applyBorder="1"/>
    <xf numFmtId="14" fontId="0" fillId="0" borderId="10" xfId="0" applyNumberFormat="1" applyFill="1" applyBorder="1"/>
    <xf numFmtId="0" fontId="0" fillId="0" borderId="13" xfId="0" applyFill="1" applyBorder="1"/>
    <xf numFmtId="0" fontId="0" fillId="0" borderId="0" xfId="0" applyFill="1"/>
    <xf numFmtId="0" fontId="0" fillId="0" borderId="13" xfId="0" applyBorder="1"/>
    <xf numFmtId="0" fontId="0" fillId="0" borderId="10" xfId="0" applyFill="1" applyBorder="1" applyAlignment="1">
      <alignment horizontal="center"/>
    </xf>
    <xf numFmtId="164" fontId="0" fillId="0" borderId="10" xfId="1" applyNumberFormat="1" applyFont="1" applyFill="1" applyBorder="1"/>
    <xf numFmtId="164" fontId="0" fillId="0" borderId="0" xfId="1" applyNumberFormat="1" applyFont="1" applyFill="1" applyBorder="1"/>
    <xf numFmtId="164" fontId="0" fillId="0" borderId="10" xfId="0" applyNumberFormat="1" applyBorder="1"/>
    <xf numFmtId="165" fontId="0" fillId="0" borderId="0" xfId="0" applyNumberFormat="1"/>
    <xf numFmtId="165" fontId="16" fillId="0" borderId="11" xfId="0" applyNumberFormat="1" applyFont="1" applyFill="1" applyBorder="1" applyAlignment="1">
      <alignment horizontal="center"/>
    </xf>
    <xf numFmtId="165" fontId="16" fillId="0" borderId="12" xfId="0" applyNumberFormat="1" applyFont="1" applyFill="1" applyBorder="1" applyAlignment="1">
      <alignment horizontal="center"/>
    </xf>
    <xf numFmtId="3" fontId="0" fillId="0" borderId="0" xfId="0" applyNumberFormat="1"/>
    <xf numFmtId="3" fontId="0" fillId="0" borderId="10" xfId="0" applyNumberFormat="1" applyBorder="1"/>
    <xf numFmtId="9" fontId="0" fillId="0" borderId="10" xfId="1" applyFont="1" applyBorder="1"/>
    <xf numFmtId="0" fontId="16" fillId="0" borderId="0" xfId="0" applyFont="1"/>
    <xf numFmtId="0" fontId="18" fillId="0" borderId="10" xfId="0" applyFont="1" applyBorder="1"/>
    <xf numFmtId="165" fontId="0" fillId="0" borderId="13" xfId="0" applyNumberFormat="1" applyFill="1" applyBorder="1"/>
    <xf numFmtId="165" fontId="0" fillId="0" borderId="14" xfId="0" applyNumberFormat="1" applyFill="1" applyBorder="1"/>
    <xf numFmtId="165" fontId="0" fillId="0" borderId="0" xfId="0" applyNumberFormat="1" applyFill="1" applyBorder="1"/>
    <xf numFmtId="0" fontId="16" fillId="0" borderId="0" xfId="0" applyFont="1" applyAlignment="1">
      <alignment horizontal="center"/>
    </xf>
    <xf numFmtId="0" fontId="16" fillId="0" borderId="13" xfId="0" applyFon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0" fontId="16" fillId="0" borderId="14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9" fontId="0" fillId="0" borderId="0" xfId="1" applyFont="1" applyBorder="1"/>
    <xf numFmtId="0" fontId="16" fillId="0" borderId="0" xfId="0" applyFont="1" applyFill="1" applyBorder="1" applyAlignment="1">
      <alignment horizontal="center"/>
    </xf>
    <xf numFmtId="9" fontId="0" fillId="0" borderId="0" xfId="1" applyFont="1"/>
    <xf numFmtId="164" fontId="0" fillId="0" borderId="0" xfId="1" applyNumberFormat="1" applyFont="1"/>
    <xf numFmtId="9" fontId="0" fillId="0" borderId="0" xfId="1" applyFont="1" applyBorder="1" applyAlignment="1">
      <alignment horizontal="right"/>
    </xf>
    <xf numFmtId="164" fontId="0" fillId="0" borderId="13" xfId="1" applyNumberFormat="1" applyFont="1" applyFill="1" applyBorder="1"/>
    <xf numFmtId="0" fontId="0" fillId="34" borderId="10" xfId="0" applyFill="1" applyBorder="1" applyAlignment="1">
      <alignment horizontal="right"/>
    </xf>
    <xf numFmtId="0" fontId="0" fillId="34" borderId="10" xfId="0" applyFill="1" applyBorder="1" applyAlignment="1">
      <alignment horizontal="center"/>
    </xf>
    <xf numFmtId="0" fontId="0" fillId="34" borderId="10" xfId="0" applyFill="1" applyBorder="1"/>
    <xf numFmtId="14" fontId="0" fillId="34" borderId="10" xfId="0" applyNumberFormat="1" applyFill="1" applyBorder="1"/>
    <xf numFmtId="165" fontId="0" fillId="34" borderId="10" xfId="0" applyNumberFormat="1" applyFill="1" applyBorder="1"/>
    <xf numFmtId="0" fontId="20" fillId="0" borderId="0" xfId="0" applyFont="1" applyAlignment="1">
      <alignment vertical="center"/>
    </xf>
    <xf numFmtId="0" fontId="21" fillId="0" borderId="0" xfId="0" applyFont="1"/>
    <xf numFmtId="0" fontId="19" fillId="0" borderId="0" xfId="0" applyFont="1" applyAlignment="1">
      <alignment vertical="center"/>
    </xf>
    <xf numFmtId="14" fontId="0" fillId="0" borderId="0" xfId="0" applyNumberFormat="1"/>
    <xf numFmtId="0" fontId="22" fillId="0" borderId="0" xfId="43" applyAlignment="1" applyProtection="1"/>
    <xf numFmtId="0" fontId="23" fillId="0" borderId="0" xfId="0" applyFont="1"/>
    <xf numFmtId="166" fontId="0" fillId="0" borderId="0" xfId="0" applyNumberFormat="1"/>
    <xf numFmtId="164" fontId="0" fillId="34" borderId="10" xfId="1" applyNumberFormat="1" applyFont="1" applyFill="1" applyBorder="1"/>
    <xf numFmtId="3" fontId="0" fillId="0" borderId="10" xfId="1" applyNumberFormat="1" applyFont="1" applyBorder="1"/>
    <xf numFmtId="164" fontId="0" fillId="33" borderId="10" xfId="1" applyNumberFormat="1" applyFont="1" applyFill="1" applyBorder="1"/>
    <xf numFmtId="0" fontId="0" fillId="0" borderId="0" xfId="0" applyFill="1" applyBorder="1" applyAlignment="1">
      <alignment horizontal="right"/>
    </xf>
    <xf numFmtId="165" fontId="0" fillId="0" borderId="0" xfId="0" applyNumberFormat="1" applyBorder="1"/>
    <xf numFmtId="165" fontId="0" fillId="33" borderId="10" xfId="0" applyNumberFormat="1" applyFill="1" applyBorder="1"/>
    <xf numFmtId="0" fontId="16" fillId="0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165" fontId="0" fillId="0" borderId="10" xfId="0" applyNumberFormat="1" applyFill="1" applyBorder="1" applyAlignment="1">
      <alignment horizontal="right"/>
    </xf>
    <xf numFmtId="165" fontId="16" fillId="0" borderId="11" xfId="0" applyNumberFormat="1" applyFont="1" applyBorder="1" applyAlignment="1">
      <alignment horizontal="center"/>
    </xf>
    <xf numFmtId="165" fontId="16" fillId="0" borderId="12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0" fontId="16" fillId="0" borderId="10" xfId="0" applyFont="1" applyBorder="1" applyAlignment="1">
      <alignment horizontal="center"/>
    </xf>
    <xf numFmtId="0" fontId="24" fillId="0" borderId="0" xfId="0" applyFont="1" applyAlignment="1">
      <alignment horizontal="right"/>
    </xf>
    <xf numFmtId="0" fontId="16" fillId="0" borderId="10" xfId="0" applyFont="1" applyBorder="1" applyAlignment="1">
      <alignment horizontal="center"/>
    </xf>
    <xf numFmtId="164" fontId="0" fillId="0" borderId="0" xfId="0" applyNumberFormat="1"/>
    <xf numFmtId="165" fontId="16" fillId="0" borderId="13" xfId="0" applyNumberFormat="1" applyFont="1" applyBorder="1" applyAlignment="1">
      <alignment horizontal="center"/>
    </xf>
    <xf numFmtId="166" fontId="25" fillId="35" borderId="10" xfId="0" quotePrefix="1" applyNumberFormat="1" applyFont="1" applyFill="1" applyBorder="1" applyAlignment="1" applyProtection="1">
      <alignment horizontal="right" vertical="center"/>
      <protection locked="0"/>
    </xf>
    <xf numFmtId="166" fontId="25" fillId="35" borderId="10" xfId="0" applyNumberFormat="1" applyFont="1" applyFill="1" applyBorder="1" applyAlignment="1" applyProtection="1">
      <alignment horizontal="right" vertical="center"/>
      <protection locked="0"/>
    </xf>
    <xf numFmtId="164" fontId="0" fillId="36" borderId="10" xfId="1" applyNumberFormat="1" applyFont="1" applyFill="1" applyBorder="1"/>
    <xf numFmtId="0" fontId="26" fillId="35" borderId="10" xfId="0" applyFont="1" applyFill="1" applyBorder="1" applyAlignment="1">
      <alignment horizontal="center" vertical="center"/>
    </xf>
    <xf numFmtId="167" fontId="25" fillId="35" borderId="10" xfId="0" quotePrefix="1" applyNumberFormat="1" applyFont="1" applyFill="1" applyBorder="1" applyAlignment="1" applyProtection="1">
      <alignment horizontal="center" vertical="center"/>
      <protection locked="0"/>
    </xf>
    <xf numFmtId="167" fontId="25" fillId="36" borderId="10" xfId="0" quotePrefix="1" applyNumberFormat="1" applyFont="1" applyFill="1" applyBorder="1" applyAlignment="1" applyProtection="1">
      <alignment horizontal="center" vertical="center"/>
      <protection locked="0"/>
    </xf>
    <xf numFmtId="166" fontId="25" fillId="0" borderId="10" xfId="0" applyNumberFormat="1" applyFont="1" applyFill="1" applyBorder="1" applyAlignment="1" applyProtection="1">
      <alignment horizontal="right" vertical="center"/>
      <protection locked="0"/>
    </xf>
    <xf numFmtId="165" fontId="0" fillId="37" borderId="10" xfId="0" applyNumberFormat="1" applyFill="1" applyBorder="1"/>
    <xf numFmtId="0" fontId="0" fillId="37" borderId="10" xfId="0" applyFill="1" applyBorder="1"/>
    <xf numFmtId="164" fontId="0" fillId="37" borderId="10" xfId="1" applyNumberFormat="1" applyFont="1" applyFill="1" applyBorder="1"/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0" fillId="0" borderId="0" xfId="0" applyAlignment="1"/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nrel.gov/wind/systemsintegration/ewits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en.wikipedia.org/wiki/Dutch_Hill/Cohocton_Wind_Farm" TargetMode="External"/><Relationship Id="rId1" Type="http://schemas.openxmlformats.org/officeDocument/2006/relationships/hyperlink" Target="https://www.dansvilleonline.com/news/20200121/blade-breaks-off-wind-turbine-in-cohocton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workbookViewId="0">
      <selection activeCell="D21" sqref="D21"/>
    </sheetView>
  </sheetViews>
  <sheetFormatPr defaultRowHeight="14.4" x14ac:dyDescent="0.3"/>
  <cols>
    <col min="4" max="4" width="9.6640625" bestFit="1" customWidth="1"/>
  </cols>
  <sheetData>
    <row r="1" spans="1:5" ht="15.6" x14ac:dyDescent="0.3">
      <c r="B1" t="s">
        <v>94</v>
      </c>
      <c r="D1" s="61">
        <v>42270</v>
      </c>
      <c r="E1" s="60" t="s">
        <v>161</v>
      </c>
    </row>
    <row r="2" spans="1:5" x14ac:dyDescent="0.3">
      <c r="A2" t="s">
        <v>157</v>
      </c>
      <c r="B2" t="s">
        <v>65</v>
      </c>
      <c r="C2" t="s">
        <v>158</v>
      </c>
    </row>
    <row r="3" spans="1:5" ht="15.6" x14ac:dyDescent="0.3">
      <c r="A3" s="31">
        <v>100</v>
      </c>
      <c r="B3" s="49">
        <v>0.28000000000000003</v>
      </c>
      <c r="C3" s="34">
        <f>A3*8760*B3</f>
        <v>245280.00000000003</v>
      </c>
      <c r="E3" s="58" t="s">
        <v>152</v>
      </c>
    </row>
    <row r="4" spans="1:5" ht="15.6" x14ac:dyDescent="0.3">
      <c r="A4" s="31">
        <v>9.6</v>
      </c>
      <c r="B4" s="49">
        <v>0.75</v>
      </c>
      <c r="C4" s="34">
        <f t="shared" ref="C4:C7" si="0">A4*8760*B4</f>
        <v>63072</v>
      </c>
      <c r="E4" s="59" t="s">
        <v>153</v>
      </c>
    </row>
    <row r="5" spans="1:5" ht="15.6" x14ac:dyDescent="0.3">
      <c r="A5" s="31">
        <v>5.2</v>
      </c>
      <c r="B5" s="49">
        <f>B10</f>
        <v>0.58647260273972601</v>
      </c>
      <c r="C5" s="34">
        <f t="shared" si="0"/>
        <v>26715</v>
      </c>
      <c r="E5" s="59" t="s">
        <v>154</v>
      </c>
    </row>
    <row r="6" spans="1:5" ht="15.6" x14ac:dyDescent="0.3">
      <c r="A6" s="31">
        <v>0.79</v>
      </c>
      <c r="B6" s="49">
        <v>0.75</v>
      </c>
      <c r="C6" s="34">
        <f t="shared" si="0"/>
        <v>5190.3</v>
      </c>
      <c r="E6" s="59" t="s">
        <v>155</v>
      </c>
    </row>
    <row r="7" spans="1:5" ht="15.6" x14ac:dyDescent="0.3">
      <c r="A7" s="31">
        <v>0.56000000000000005</v>
      </c>
      <c r="B7" s="49">
        <f>B11</f>
        <v>0.58675799086757996</v>
      </c>
      <c r="C7" s="34">
        <f t="shared" si="0"/>
        <v>2878.4000000000005</v>
      </c>
      <c r="E7" s="59" t="s">
        <v>156</v>
      </c>
    </row>
    <row r="8" spans="1:5" x14ac:dyDescent="0.3">
      <c r="A8" s="31">
        <f>SUM(A3:A7)</f>
        <v>116.15</v>
      </c>
      <c r="C8" s="34">
        <f>SUM(C3:C7)</f>
        <v>343135.7</v>
      </c>
    </row>
    <row r="10" spans="1:5" ht="15.6" x14ac:dyDescent="0.3">
      <c r="A10" s="31">
        <v>8</v>
      </c>
      <c r="B10" s="49">
        <f>1000*C10/(A10*8760)</f>
        <v>0.58647260273972601</v>
      </c>
      <c r="C10">
        <v>41.1</v>
      </c>
      <c r="E10" s="59" t="s">
        <v>159</v>
      </c>
    </row>
    <row r="11" spans="1:5" x14ac:dyDescent="0.3">
      <c r="A11" s="31">
        <v>800</v>
      </c>
      <c r="B11" s="49">
        <f>1000*C11/(A11*8760)</f>
        <v>0.58675799086757996</v>
      </c>
      <c r="C11">
        <v>4112</v>
      </c>
    </row>
    <row r="12" spans="1:5" x14ac:dyDescent="0.3">
      <c r="A12" s="31">
        <v>450</v>
      </c>
      <c r="B12" s="49">
        <f>1000*C12/(A12*8760)</f>
        <v>0.41222729578893963</v>
      </c>
      <c r="C12">
        <v>1625</v>
      </c>
    </row>
    <row r="16" spans="1:5" x14ac:dyDescent="0.3">
      <c r="D16">
        <v>6300</v>
      </c>
      <c r="E16" t="s">
        <v>160</v>
      </c>
    </row>
    <row r="17" spans="3:3" x14ac:dyDescent="0.3">
      <c r="C17" s="34">
        <f>C8*1000/D16</f>
        <v>54465.984126984127</v>
      </c>
    </row>
  </sheetData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"/>
  <sheetViews>
    <sheetView workbookViewId="0">
      <selection activeCell="D6" sqref="D6"/>
    </sheetView>
  </sheetViews>
  <sheetFormatPr defaultRowHeight="14.4" x14ac:dyDescent="0.3"/>
  <cols>
    <col min="2" max="2" width="15.33203125" bestFit="1" customWidth="1"/>
    <col min="3" max="3" width="9.88671875" bestFit="1" customWidth="1"/>
    <col min="4" max="4" width="15.109375" bestFit="1" customWidth="1"/>
    <col min="5" max="5" width="11.33203125" bestFit="1" customWidth="1"/>
    <col min="6" max="8" width="11.33203125" customWidth="1"/>
    <col min="9" max="9" width="13.6640625" bestFit="1" customWidth="1"/>
    <col min="10" max="10" width="19.88671875" bestFit="1" customWidth="1"/>
    <col min="11" max="11" width="20" bestFit="1" customWidth="1"/>
    <col min="12" max="12" width="12.88671875" bestFit="1" customWidth="1"/>
  </cols>
  <sheetData>
    <row r="1" spans="1:15" x14ac:dyDescent="0.3">
      <c r="N1">
        <v>2012</v>
      </c>
      <c r="O1" t="s">
        <v>135</v>
      </c>
    </row>
    <row r="2" spans="1:15" x14ac:dyDescent="0.3">
      <c r="N2" t="s">
        <v>137</v>
      </c>
      <c r="O2" s="34">
        <v>8504</v>
      </c>
    </row>
    <row r="3" spans="1:15" x14ac:dyDescent="0.3">
      <c r="A3" s="9"/>
      <c r="B3" s="92" t="s">
        <v>123</v>
      </c>
      <c r="C3" s="93"/>
      <c r="D3" s="9"/>
      <c r="E3" s="9" t="s">
        <v>124</v>
      </c>
      <c r="F3" s="46"/>
      <c r="G3" s="46"/>
      <c r="H3" s="46"/>
      <c r="N3" t="s">
        <v>139</v>
      </c>
      <c r="O3" s="34">
        <v>0</v>
      </c>
    </row>
    <row r="4" spans="1:15" x14ac:dyDescent="0.3">
      <c r="A4" s="43"/>
      <c r="B4" s="9" t="s">
        <v>117</v>
      </c>
      <c r="C4" s="9" t="s">
        <v>119</v>
      </c>
      <c r="D4" s="43" t="s">
        <v>121</v>
      </c>
      <c r="E4" s="43" t="s">
        <v>125</v>
      </c>
      <c r="F4" s="46"/>
      <c r="G4" s="46"/>
      <c r="H4" s="46"/>
      <c r="I4" s="48" t="s">
        <v>133</v>
      </c>
      <c r="J4" s="42" t="s">
        <v>127</v>
      </c>
      <c r="K4" s="42" t="s">
        <v>129</v>
      </c>
      <c r="L4" s="42" t="s">
        <v>132</v>
      </c>
      <c r="N4" t="s">
        <v>138</v>
      </c>
      <c r="O4" s="34">
        <v>53964</v>
      </c>
    </row>
    <row r="5" spans="1:15" x14ac:dyDescent="0.3">
      <c r="A5" s="11" t="s">
        <v>116</v>
      </c>
      <c r="B5" s="11" t="s">
        <v>118</v>
      </c>
      <c r="C5" s="11" t="s">
        <v>120</v>
      </c>
      <c r="D5" s="11" t="s">
        <v>122</v>
      </c>
      <c r="E5" s="11" t="s">
        <v>126</v>
      </c>
      <c r="F5" s="46"/>
      <c r="G5" s="46"/>
      <c r="H5" s="46" t="s">
        <v>131</v>
      </c>
      <c r="I5" s="48" t="s">
        <v>118</v>
      </c>
      <c r="J5" s="45" t="s">
        <v>128</v>
      </c>
      <c r="K5" s="42" t="s">
        <v>130</v>
      </c>
      <c r="L5" s="48" t="s">
        <v>136</v>
      </c>
      <c r="N5" s="48" t="s">
        <v>140</v>
      </c>
      <c r="O5" s="34">
        <v>4281</v>
      </c>
    </row>
    <row r="6" spans="1:15" x14ac:dyDescent="0.3">
      <c r="A6" s="8">
        <v>2006</v>
      </c>
      <c r="B6" s="44">
        <f>'2006'!E$25</f>
        <v>279.20000000000005</v>
      </c>
      <c r="C6" s="44">
        <f>'2006'!I$25</f>
        <v>518.42700000000002</v>
      </c>
      <c r="D6" s="44">
        <v>1281</v>
      </c>
      <c r="E6" s="36">
        <f>C6/D6</f>
        <v>0.40470491803278691</v>
      </c>
      <c r="F6" s="47"/>
      <c r="G6" s="47"/>
      <c r="H6" s="51" t="s">
        <v>134</v>
      </c>
      <c r="I6" s="34">
        <v>14819</v>
      </c>
      <c r="J6" s="34">
        <v>68041</v>
      </c>
      <c r="K6" s="50">
        <v>0.57499999999999996</v>
      </c>
      <c r="L6" s="34">
        <f>J6/K6</f>
        <v>118332.17391304349</v>
      </c>
      <c r="O6" s="34">
        <f>SUM(O2:O5)</f>
        <v>66749</v>
      </c>
    </row>
    <row r="7" spans="1:15" x14ac:dyDescent="0.3">
      <c r="A7" s="8">
        <v>2007</v>
      </c>
      <c r="B7" s="44">
        <f>'2007'!E$25</f>
        <v>390.00000000000006</v>
      </c>
      <c r="C7" s="44">
        <f>'2007'!I$25</f>
        <v>800.18100000000004</v>
      </c>
      <c r="D7" s="44">
        <v>1814</v>
      </c>
      <c r="E7" s="36">
        <f t="shared" ref="E7:E12" si="0">C7/D7</f>
        <v>0.44111411245865495</v>
      </c>
      <c r="F7" s="47"/>
      <c r="G7" s="47"/>
      <c r="H7" s="47"/>
      <c r="J7" t="s">
        <v>142</v>
      </c>
      <c r="O7" s="34"/>
    </row>
    <row r="8" spans="1:15" x14ac:dyDescent="0.3">
      <c r="A8" s="8">
        <v>2008</v>
      </c>
      <c r="B8" s="44">
        <f>'2008'!E$25</f>
        <v>1148</v>
      </c>
      <c r="C8" s="44">
        <f>'2008'!I$25</f>
        <v>1282.325</v>
      </c>
      <c r="D8" s="44">
        <v>5271</v>
      </c>
      <c r="E8" s="36">
        <f t="shared" si="0"/>
        <v>0.24327926389679377</v>
      </c>
      <c r="F8" s="47"/>
      <c r="G8" s="47"/>
      <c r="H8" s="47" t="s">
        <v>141</v>
      </c>
      <c r="I8" s="34"/>
      <c r="J8" s="34">
        <v>45099</v>
      </c>
      <c r="K8" s="50"/>
      <c r="L8" s="34"/>
      <c r="O8" s="34"/>
    </row>
    <row r="9" spans="1:15" x14ac:dyDescent="0.3">
      <c r="A9" s="8">
        <v>2009</v>
      </c>
      <c r="B9" s="44">
        <f>'2009'!E$25</f>
        <v>1250.8</v>
      </c>
      <c r="C9" s="44">
        <f>'2009'!I$25</f>
        <v>1959.6000000000004</v>
      </c>
      <c r="D9" s="44">
        <v>5744</v>
      </c>
      <c r="E9" s="36">
        <f t="shared" si="0"/>
        <v>0.3411559888579388</v>
      </c>
      <c r="F9" s="47"/>
      <c r="G9" s="47"/>
      <c r="H9" s="47"/>
      <c r="O9" s="34"/>
    </row>
    <row r="10" spans="1:15" x14ac:dyDescent="0.3">
      <c r="A10" s="8">
        <v>2010</v>
      </c>
      <c r="B10" s="44">
        <v>1195</v>
      </c>
      <c r="C10" s="44">
        <f>'2010'!I$25</f>
        <v>2215.7999999999997</v>
      </c>
      <c r="D10" s="44">
        <v>5487</v>
      </c>
      <c r="E10" s="36">
        <f t="shared" si="0"/>
        <v>0.40382722799343901</v>
      </c>
      <c r="F10" s="47"/>
      <c r="G10" s="47"/>
      <c r="H10" s="47"/>
      <c r="J10" s="49">
        <f>(J8-J6)/J6</f>
        <v>-0.33717905380579355</v>
      </c>
      <c r="O10" s="34"/>
    </row>
    <row r="11" spans="1:15" x14ac:dyDescent="0.3">
      <c r="A11" s="8">
        <v>2011</v>
      </c>
      <c r="B11" s="44">
        <f>'2011'!E$25</f>
        <v>1195.3999999999999</v>
      </c>
      <c r="C11" s="44">
        <f>'2011'!I$25</f>
        <v>2472.3000000000002</v>
      </c>
      <c r="D11" s="44">
        <v>5487</v>
      </c>
      <c r="E11" s="36">
        <f t="shared" si="0"/>
        <v>0.4505740841990159</v>
      </c>
      <c r="F11" s="47"/>
      <c r="G11" s="47"/>
      <c r="H11" s="47"/>
      <c r="O11" s="34"/>
    </row>
    <row r="12" spans="1:15" x14ac:dyDescent="0.3">
      <c r="A12" s="8">
        <v>2012</v>
      </c>
      <c r="B12" s="44">
        <f>'2012'!E$25</f>
        <v>1633.8999999999999</v>
      </c>
      <c r="C12" s="44">
        <f>'2012'!I$25</f>
        <v>3060.2</v>
      </c>
      <c r="D12" s="44">
        <v>7502</v>
      </c>
      <c r="E12" s="36">
        <f t="shared" si="0"/>
        <v>0.40791788856304984</v>
      </c>
      <c r="F12" s="47"/>
      <c r="G12" s="47"/>
      <c r="H12" s="47"/>
      <c r="O12" s="34"/>
    </row>
    <row r="13" spans="1:15" x14ac:dyDescent="0.3">
      <c r="A13" s="8">
        <v>2013</v>
      </c>
      <c r="B13" s="44">
        <f>'2013'!E$26</f>
        <v>1729.7</v>
      </c>
      <c r="C13" s="44">
        <f>'2013'!I$26</f>
        <v>3540.8</v>
      </c>
      <c r="D13" s="44">
        <v>7502</v>
      </c>
      <c r="E13" s="36">
        <f t="shared" ref="E13" si="1">C13/D13</f>
        <v>0.47198080511863505</v>
      </c>
      <c r="O13" s="34"/>
    </row>
  </sheetData>
  <mergeCells count="1">
    <mergeCell ref="B3:C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9"/>
  <sheetViews>
    <sheetView tabSelected="1" workbookViewId="0">
      <pane xSplit="1" ySplit="3" topLeftCell="B20" activePane="bottomRight" state="frozen"/>
      <selection pane="topRight" activeCell="B1" sqref="B1"/>
      <selection pane="bottomLeft" activeCell="A4" sqref="A4"/>
      <selection pane="bottomRight" activeCell="D44" sqref="D44"/>
    </sheetView>
  </sheetViews>
  <sheetFormatPr defaultRowHeight="14.4" x14ac:dyDescent="0.3"/>
  <cols>
    <col min="1" max="1" width="30.6640625" bestFit="1" customWidth="1"/>
    <col min="2" max="3" width="6.109375" customWidth="1"/>
    <col min="4" max="4" width="6.5546875" customWidth="1"/>
    <col min="5" max="7" width="6.5546875" bestFit="1" customWidth="1"/>
    <col min="8" max="9" width="6.44140625" bestFit="1" customWidth="1"/>
    <col min="10" max="12" width="6.5546875" customWidth="1"/>
    <col min="13" max="14" width="6.5546875" bestFit="1" customWidth="1"/>
    <col min="15" max="16" width="6.44140625" bestFit="1" customWidth="1"/>
    <col min="17" max="17" width="6.44140625" customWidth="1"/>
  </cols>
  <sheetData>
    <row r="1" spans="1:17" x14ac:dyDescent="0.3">
      <c r="A1" s="37" t="s">
        <v>243</v>
      </c>
    </row>
    <row r="3" spans="1:17" x14ac:dyDescent="0.3">
      <c r="A3" s="71" t="s">
        <v>39</v>
      </c>
      <c r="B3" s="72">
        <v>2006</v>
      </c>
      <c r="C3" s="72">
        <v>2007</v>
      </c>
      <c r="D3" s="72">
        <v>2008</v>
      </c>
      <c r="E3" s="72">
        <v>2009</v>
      </c>
      <c r="F3" s="72">
        <v>2010</v>
      </c>
      <c r="G3" s="72">
        <v>2011</v>
      </c>
      <c r="H3" s="72">
        <v>2012</v>
      </c>
      <c r="I3" s="72">
        <v>2013</v>
      </c>
      <c r="J3" s="72">
        <v>2014</v>
      </c>
      <c r="K3" s="72">
        <v>2015</v>
      </c>
      <c r="L3" s="72">
        <v>2016</v>
      </c>
      <c r="M3" s="72">
        <v>2017</v>
      </c>
      <c r="N3" s="72">
        <v>2018</v>
      </c>
      <c r="O3" s="77">
        <v>2019</v>
      </c>
      <c r="P3" s="79">
        <v>2020</v>
      </c>
      <c r="Q3" s="79">
        <v>2021</v>
      </c>
    </row>
    <row r="4" spans="1:17" x14ac:dyDescent="0.3">
      <c r="A4" s="13" t="s">
        <v>24</v>
      </c>
      <c r="B4" s="30" t="str">
        <f>IF('2006'!$J5&gt;0,'2006'!$J5,"")</f>
        <v/>
      </c>
      <c r="C4" s="30" t="str">
        <f>IF('2007'!$J5&gt;0,'2007'!$J5,"")</f>
        <v/>
      </c>
      <c r="D4" s="30">
        <f>IF('2008'!$J5&gt;0,'2008'!$J5,"")</f>
        <v>9.6912048524951735E-3</v>
      </c>
      <c r="E4" s="6">
        <f>IF('2009'!$J5&gt;0,'2009'!$J5,"")</f>
        <v>0.17429193899782136</v>
      </c>
      <c r="F4" s="6">
        <f>IF('2010'!$J5&gt;0,'2010'!$J5,"")</f>
        <v>0.220231822971549</v>
      </c>
      <c r="G4" s="6">
        <f>IF('2011'!$J5&gt;0,'2011'!$J5,"")</f>
        <v>0.20922608593841471</v>
      </c>
      <c r="H4" s="6">
        <f>IF('2012'!$J5&gt;0,'2012'!$J5,"")</f>
        <v>0.2019669827889006</v>
      </c>
      <c r="I4" s="6">
        <f>IF('2013'!$J5&gt;0,'2013'!$J5,"")</f>
        <v>0.189790422667135</v>
      </c>
      <c r="J4" s="6">
        <f>IF('2014'!$J5&gt;0,'2014'!$J5,"")</f>
        <v>0.21824142372087577</v>
      </c>
      <c r="K4" s="6">
        <f>IF('2015'!$J5&gt;0,'2015'!$J5,"")</f>
        <v>0.19915700737618547</v>
      </c>
      <c r="L4" s="6">
        <f>IF('2016'!$J5&gt;0,'2016'!$J5,"")</f>
        <v>0.19915700737618547</v>
      </c>
      <c r="M4" s="6">
        <f>IF('2017'!$J5&gt;0,'2017'!$J5,"")</f>
        <v>0.20559653436365766</v>
      </c>
      <c r="N4" s="6">
        <f>IF('2018'!$J5&gt;0,'2018'!$J5,"")</f>
        <v>0.1974007727432385</v>
      </c>
      <c r="O4" s="6">
        <f>IF('2019'!$J5&gt;0,'2019'!$J5,"")</f>
        <v>0.20079615970026929</v>
      </c>
      <c r="P4" s="6">
        <f>IF('2020'!$J5&gt;0,'2020'!$J5,"")</f>
        <v>0.21613394216133947</v>
      </c>
      <c r="Q4" s="6">
        <f>IF('2021'!$J5&gt;0,'2021'!$J5,"")</f>
        <v>0.19025875190258751</v>
      </c>
    </row>
    <row r="5" spans="1:17" x14ac:dyDescent="0.3">
      <c r="A5" s="13" t="s">
        <v>182</v>
      </c>
      <c r="B5" s="30"/>
      <c r="C5" s="30"/>
      <c r="D5" s="30"/>
      <c r="E5" s="6"/>
      <c r="F5" s="6"/>
      <c r="G5" s="6"/>
      <c r="H5" s="6"/>
      <c r="I5" s="6"/>
      <c r="J5" s="6"/>
      <c r="K5" s="6"/>
      <c r="L5" s="6"/>
      <c r="M5" s="6"/>
      <c r="N5" s="6"/>
      <c r="O5" s="6">
        <f>'2019'!J6</f>
        <v>0.37391668996365668</v>
      </c>
      <c r="P5" s="6">
        <f>IF('2020'!$J6&gt;0,'2020'!$J6,"")</f>
        <v>0.37246062808685115</v>
      </c>
      <c r="Q5" s="6">
        <f>IF('2021'!$J6&gt;0,'2021'!$J6,"")</f>
        <v>0.33969923585872708</v>
      </c>
    </row>
    <row r="6" spans="1:17" x14ac:dyDescent="0.3">
      <c r="A6" s="13" t="s">
        <v>26</v>
      </c>
      <c r="B6" s="30" t="str">
        <f>IF('2006'!$J6&gt;0,'2006'!$J6,"")</f>
        <v/>
      </c>
      <c r="C6" s="30" t="str">
        <f>IF('2007'!$J6&gt;0,'2007'!$J6,"")</f>
        <v/>
      </c>
      <c r="D6" s="30">
        <f>IF('2008'!$J6&gt;0,'2008'!$J6,"")</f>
        <v>0.1681421324748805</v>
      </c>
      <c r="E6" s="6">
        <f>IF('2009'!$J6&gt;0,'2009'!$J6,"")</f>
        <v>0.22013221563415797</v>
      </c>
      <c r="F6" s="6">
        <f>IF('2010'!$J6&gt;0,'2010'!$J6,"")</f>
        <v>0.21308980213089801</v>
      </c>
      <c r="G6" s="6">
        <f>IF('2011'!$J6&gt;0,'2011'!$J6,"")</f>
        <v>0.21672459619709672</v>
      </c>
      <c r="H6" s="6">
        <f>IF('2012'!$J6&gt;0,'2012'!$J6,"")</f>
        <v>0.23285399486585337</v>
      </c>
      <c r="I6" s="6">
        <f>IF('2013'!$J6&gt;0,'2013'!$J6,"")</f>
        <v>0.23239964560757856</v>
      </c>
      <c r="J6" s="6">
        <f>IF('2014'!$J6&gt;0,'2014'!$J6,"")</f>
        <v>0.23467139189895272</v>
      </c>
      <c r="K6" s="6">
        <f>IF('2015'!$J6&gt;0,'2015'!$J6,"")</f>
        <v>0.23319475680955951</v>
      </c>
      <c r="L6" s="6">
        <f>IF('2016'!$J6&gt;0,'2016'!$J6,"")</f>
        <v>0.23217247097844113</v>
      </c>
      <c r="M6" s="6">
        <f>IF('2017'!$J6&gt;0,'2017'!$J6,"")</f>
        <v>0.23898770985256368</v>
      </c>
      <c r="N6" s="6">
        <f>IF('2018'!$J6&gt;0,'2018'!$J6,"")</f>
        <v>0.35721255715400912</v>
      </c>
      <c r="O6" s="6">
        <f>IF('2019'!$J6&gt;0,'2019'!$J6,"")</f>
        <v>0.37391668996365668</v>
      </c>
      <c r="P6" s="6">
        <f>IF('2020'!$J6&gt;0,'2020'!$J6,"")</f>
        <v>0.37246062808685115</v>
      </c>
      <c r="Q6" s="6">
        <f>IF('2021'!$J7&gt;0,'2021'!$J7,"")</f>
        <v>0.19934573706808423</v>
      </c>
    </row>
    <row r="7" spans="1:17" x14ac:dyDescent="0.3">
      <c r="A7" s="13" t="s">
        <v>0</v>
      </c>
      <c r="B7" s="30" t="str">
        <f>IF('2006'!$J7&gt;0,'2006'!$J7,"")</f>
        <v/>
      </c>
      <c r="C7" s="30" t="str">
        <f>IF('2007'!$J7&gt;0,'2007'!$J7,"")</f>
        <v/>
      </c>
      <c r="D7" s="30">
        <f>IF('2008'!$J7&gt;0,'2008'!$J7,"")</f>
        <v>5.5491803278688523E-2</v>
      </c>
      <c r="E7" s="6">
        <f>IF('2009'!$J7&gt;0,'2009'!$J7,"")</f>
        <v>0.19850299401197605</v>
      </c>
      <c r="F7" s="6">
        <f>IF('2010'!$J7&gt;0,'2010'!$J7,"")</f>
        <v>0.23607305936073059</v>
      </c>
      <c r="G7" s="6">
        <f>IF('2011'!$J7&gt;0,'2011'!$J7,"")</f>
        <v>0.22136986301369863</v>
      </c>
      <c r="H7" s="6">
        <f>IF('2012'!$J7&gt;0,'2012'!$J7,"")</f>
        <v>0.22557077625570776</v>
      </c>
      <c r="I7" s="6">
        <f>IF('2013'!$J7&gt;0,'2013'!$J7,"")</f>
        <v>0.22</v>
      </c>
      <c r="J7" s="6">
        <f>IF('2014'!$J7&gt;0,'2014'!$J7,"")</f>
        <v>0.23698630136986301</v>
      </c>
      <c r="K7" s="6">
        <f>IF('2015'!$J7&gt;0,'2015'!$J7,"")</f>
        <v>0.23835616438356164</v>
      </c>
      <c r="L7" s="6">
        <f>IF('2016'!$J7&gt;0,'2016'!$J7,"")</f>
        <v>0.23625570776255708</v>
      </c>
      <c r="M7" s="6">
        <f>IF('2017'!$J7&gt;0,'2017'!$J7,"")</f>
        <v>0.24164383561643835</v>
      </c>
      <c r="N7" s="6">
        <f>IF('2018'!$J7&gt;0,'2018'!$J7,"")</f>
        <v>0.21899634248847089</v>
      </c>
      <c r="O7" s="6">
        <f>IF('2019'!$J7&gt;0,'2019'!$J7,"")</f>
        <v>0.19343919671051138</v>
      </c>
      <c r="P7" s="6">
        <f>IF('2020'!$J7&gt;0,'2020'!$J7,"")</f>
        <v>0.2229718984983757</v>
      </c>
      <c r="Q7" s="6">
        <f>IF('2021'!$J8&gt;0,'2021'!$J8,"")</f>
        <v>0.14831050228310502</v>
      </c>
    </row>
    <row r="8" spans="1:17" x14ac:dyDescent="0.3">
      <c r="A8" s="7" t="s">
        <v>239</v>
      </c>
      <c r="B8" s="30"/>
      <c r="C8" s="30"/>
      <c r="D8" s="3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>
        <f>IF('2021'!$J9&gt;0,'2021'!$J9,"")</f>
        <v>0.15329419439008479</v>
      </c>
    </row>
    <row r="9" spans="1:17" x14ac:dyDescent="0.3">
      <c r="A9" s="13" t="s">
        <v>28</v>
      </c>
      <c r="B9" s="30" t="str">
        <f>IF('2006'!$J8&gt;0,'2006'!$J8,"")</f>
        <v/>
      </c>
      <c r="C9" s="30" t="str">
        <f>IF('2007'!$J8&gt;0,'2007'!$J8,"")</f>
        <v/>
      </c>
      <c r="D9" s="30">
        <f>IF('2008'!$J8&gt;0,'2008'!$J8,"")</f>
        <v>0.10322866158700839</v>
      </c>
      <c r="E9" s="6">
        <f>IF('2009'!$J8&gt;0,'2009'!$J8,"")</f>
        <v>0.1841112031667127</v>
      </c>
      <c r="F9" s="6">
        <f>IF('2010'!$J8&gt;0,'2010'!$J8,"")</f>
        <v>0.20601539220099899</v>
      </c>
      <c r="G9" s="6">
        <f>IF('2011'!$J8&gt;0,'2011'!$J8,"")</f>
        <v>0.21630544300812485</v>
      </c>
      <c r="H9" s="6">
        <f>IF('2012'!$J8&gt;0,'2012'!$J8,"")</f>
        <v>0.2055866400840354</v>
      </c>
      <c r="I9" s="6">
        <f>IF('2013'!$J8&gt;0,'2013'!$J8,"")</f>
        <v>0.20204943511908591</v>
      </c>
      <c r="J9" s="6">
        <f>IF('2014'!$J8&gt;0,'2014'!$J8,"")</f>
        <v>0.21491199862799323</v>
      </c>
      <c r="K9" s="6">
        <f>IF('2015'!$J8&gt;0,'2015'!$J8,"")</f>
        <v>0.22659549381525071</v>
      </c>
      <c r="L9" s="6">
        <f>IF('2016'!$J8&gt;0,'2016'!$J8,"")</f>
        <v>0.22466610928891462</v>
      </c>
      <c r="M9" s="6">
        <f>IF('2017'!$J8&gt;0,'2017'!$J8,"")</f>
        <v>0.22348704096726477</v>
      </c>
      <c r="N9" s="6">
        <f>IF('2018'!$J8&gt;0,'2018'!$J8,"")</f>
        <v>0.22420091324200914</v>
      </c>
      <c r="O9" s="6">
        <f>IF('2019'!$J8&gt;0,'2019'!$J8,"")</f>
        <v>0.19031963470319635</v>
      </c>
      <c r="P9" s="6">
        <f>IF('2020'!$J8&gt;0,'2020'!$J8,"")</f>
        <v>6.0273972602739728E-2</v>
      </c>
      <c r="Q9" s="6">
        <f>IF('2021'!$J10&gt;0,'2021'!$J10,"")</f>
        <v>0.18790061525928783</v>
      </c>
    </row>
    <row r="10" spans="1:17" x14ac:dyDescent="0.3">
      <c r="A10" s="13" t="s">
        <v>30</v>
      </c>
      <c r="B10" s="30" t="str">
        <f>IF('2006'!$J9&gt;0,'2006'!$J9,"")</f>
        <v/>
      </c>
      <c r="C10" s="30" t="str">
        <f>IF('2007'!$J9&gt;0,'2007'!$J9,"")</f>
        <v/>
      </c>
      <c r="D10" s="30">
        <f>IF('2008'!$J9&gt;0,'2008'!$J9,"")</f>
        <v>0.11414141414141414</v>
      </c>
      <c r="E10" s="6">
        <f>IF('2009'!$J9&gt;0,'2009'!$J9,"")</f>
        <v>0.20218541993230196</v>
      </c>
      <c r="F10" s="6">
        <f>IF('2010'!$J9&gt;0,'2010'!$J9,"")</f>
        <v>0.19741475272041617</v>
      </c>
      <c r="G10" s="6">
        <f>IF('2011'!$J9&gt;0,'2011'!$J9,"")</f>
        <v>0.19809627660782844</v>
      </c>
      <c r="H10" s="6">
        <f>IF('2012'!$J9&gt;0,'2012'!$J9,"")</f>
        <v>0.19025875190258751</v>
      </c>
      <c r="I10" s="6">
        <f>IF('2013'!$J9&gt;0,'2013'!$J9,"")</f>
        <v>0.20025443558463391</v>
      </c>
      <c r="J10" s="6">
        <f>IF('2014'!$J9&gt;0,'2014'!$J9,"")</f>
        <v>0.21149957972693609</v>
      </c>
      <c r="K10" s="6">
        <f>IF('2015'!$J9&gt;0,'2015'!$J9,"")</f>
        <v>0.19866421318067198</v>
      </c>
      <c r="L10" s="6">
        <f>IF('2016'!$J9&gt;0,'2016'!$J9,"")</f>
        <v>0.19889138780980939</v>
      </c>
      <c r="M10" s="6">
        <f>IF('2017'!$J9&gt;0,'2017'!$J9,"")</f>
        <v>0.19412072059792362</v>
      </c>
      <c r="N10" s="6">
        <f>IF('2018'!$J9&gt;0,'2018'!$J9,"")</f>
        <v>0.20462194782086737</v>
      </c>
      <c r="O10" s="6">
        <f>IF('2019'!$J9&gt;0,'2019'!$J9,"")</f>
        <v>0.21126760563380281</v>
      </c>
      <c r="P10" s="6">
        <f>IF('2020'!$J9&gt;0,'2020'!$J9,"")</f>
        <v>0.22187922052865136</v>
      </c>
      <c r="Q10" s="6">
        <f>IF('2021'!$J11&gt;0,'2021'!$J11,"")</f>
        <v>0.17197119425702537</v>
      </c>
    </row>
    <row r="11" spans="1:17" x14ac:dyDescent="0.3">
      <c r="A11" s="13" t="s">
        <v>180</v>
      </c>
      <c r="B11" s="30"/>
      <c r="C11" s="30"/>
      <c r="D11" s="30"/>
      <c r="E11" s="6"/>
      <c r="F11" s="6"/>
      <c r="G11" s="6"/>
      <c r="H11" s="6"/>
      <c r="I11" s="6"/>
      <c r="J11" s="6"/>
      <c r="K11" s="6"/>
      <c r="L11" s="6"/>
      <c r="M11" s="6"/>
      <c r="N11" s="6"/>
      <c r="O11" s="6">
        <f>'2019'!J11</f>
        <v>0.3523239666020882</v>
      </c>
      <c r="P11" s="6">
        <f>IF('2020'!$J10&gt;0,'2020'!$J10,"")</f>
        <v>0.19980008632635907</v>
      </c>
      <c r="Q11" s="6">
        <f>IF('2021'!$J12&gt;0,'2021'!$J12,"")</f>
        <v>0.3426086260794029</v>
      </c>
    </row>
    <row r="12" spans="1:17" x14ac:dyDescent="0.3">
      <c r="A12" s="13" t="s">
        <v>32</v>
      </c>
      <c r="B12" s="30" t="str">
        <f>IF('2006'!$J10&gt;0,'2006'!$J10,"")</f>
        <v/>
      </c>
      <c r="C12" s="30" t="str">
        <f>IF('2007'!$J10&gt;0,'2007'!$J10,"")</f>
        <v/>
      </c>
      <c r="D12" s="30">
        <f>IF('2008'!$J10&gt;0,'2008'!$J10,"")</f>
        <v>0.12868487587078725</v>
      </c>
      <c r="E12" s="6">
        <f>IF('2009'!$J10&gt;0,'2009'!$J10,"")</f>
        <v>0.22788770505665482</v>
      </c>
      <c r="F12" s="6">
        <f>IF('2010'!$J10&gt;0,'2010'!$J10,"")</f>
        <v>0.22196854388635209</v>
      </c>
      <c r="G12" s="6">
        <f>IF('2011'!$J10&gt;0,'2011'!$J10,"")</f>
        <v>0.23662551440329219</v>
      </c>
      <c r="H12" s="6">
        <f>IF('2012'!$J10&gt;0,'2012'!$J10,"")</f>
        <v>0.22239134111280229</v>
      </c>
      <c r="I12" s="6">
        <f>IF('2013'!$J10&gt;0,'2013'!$J10,"")</f>
        <v>0.23169288009470657</v>
      </c>
      <c r="J12" s="6">
        <f>IF('2014'!$J10&gt;0,'2014'!$J10,"")</f>
        <v>0.24888663397034783</v>
      </c>
      <c r="K12" s="6">
        <f>IF('2015'!$J10&gt;0,'2015'!$J10,"")</f>
        <v>0.24451772929702914</v>
      </c>
      <c r="L12" s="6">
        <f>IF('2016'!$J10&gt;0,'2016'!$J10,"")</f>
        <v>0.23789390608264277</v>
      </c>
      <c r="M12" s="6">
        <f>IF('2017'!$J10&gt;0,'2017'!$J10,"")</f>
        <v>0.24409493207057895</v>
      </c>
      <c r="N12" s="6">
        <f>IF('2018'!$J10&gt;0,'2018'!$J10,"")</f>
        <v>0.16685976510143347</v>
      </c>
      <c r="O12" s="6">
        <f>IF('2019'!$J10&gt;0,'2019'!$J10,"")</f>
        <v>0.19343919671051138</v>
      </c>
      <c r="P12" s="6">
        <f>IF('2020'!$J10&gt;0,'2020'!$J10,"")</f>
        <v>0.19980008632635907</v>
      </c>
      <c r="Q12" s="6">
        <f>IF('2021'!$J13&gt;0,'2021'!$J13,"")</f>
        <v>0.20421106037544393</v>
      </c>
    </row>
    <row r="13" spans="1:17" x14ac:dyDescent="0.3">
      <c r="A13" s="13" t="s">
        <v>10</v>
      </c>
      <c r="B13" s="30" t="str">
        <f>IF('2006'!$J11&gt;0,'2006'!$J11,"")</f>
        <v/>
      </c>
      <c r="C13" s="30" t="str">
        <f>IF('2007'!$J11&gt;0,'2007'!$J11,"")</f>
        <v/>
      </c>
      <c r="D13" s="30" t="str">
        <f>IF('2008'!$J11&gt;0,'2008'!$J11,"")</f>
        <v/>
      </c>
      <c r="E13" s="6" t="str">
        <f>IF('2009'!$J11&gt;0,'2009'!$J11,"")</f>
        <v/>
      </c>
      <c r="F13" s="6" t="str">
        <f>IF('2010'!$J11&gt;0,'2010'!$J11,"")</f>
        <v/>
      </c>
      <c r="G13" s="6" t="str">
        <f>IF('2011'!$J11&gt;0,'2011'!$J11,"")</f>
        <v/>
      </c>
      <c r="H13" s="6">
        <f>IF('2012'!$J11&gt;0,'2012'!$J11,"")</f>
        <v>0.25342465753424659</v>
      </c>
      <c r="I13" s="6">
        <f>IF('2013'!$J11&gt;0,'2013'!$J11,"")</f>
        <v>0.31506849315068491</v>
      </c>
      <c r="J13" s="6">
        <f>IF('2014'!$J11&gt;0,'2014'!$J11,"")</f>
        <v>0.29908675799086759</v>
      </c>
      <c r="K13" s="6">
        <f>IF('2015'!$J11&gt;0,'2015'!$J11,"")</f>
        <v>0.28919330289193301</v>
      </c>
      <c r="L13" s="6">
        <f>IF('2016'!$J11&gt;0,'2016'!$J11,"")</f>
        <v>0.28995433789954339</v>
      </c>
      <c r="M13" s="6">
        <f>IF('2017'!$J11&gt;0,'2017'!$J11,"")</f>
        <v>0.28006088280060881</v>
      </c>
      <c r="N13" s="6">
        <f>IF('2018'!$J11&gt;0,'2018'!$J11,"")</f>
        <v>0.1379412437589998</v>
      </c>
      <c r="O13" s="6">
        <f>IF('2019'!$J11&gt;0,'2019'!$J11,"")</f>
        <v>0.3523239666020882</v>
      </c>
      <c r="P13" s="6">
        <f>IF('2020'!$J11&gt;0,'2020'!$J11,"")</f>
        <v>0.39232830993079248</v>
      </c>
      <c r="Q13" s="6">
        <f>IF('2021'!$J14&gt;0,'2021'!$J14,"")</f>
        <v>0.19863013698630136</v>
      </c>
    </row>
    <row r="14" spans="1:17" x14ac:dyDescent="0.3">
      <c r="A14" s="13" t="s">
        <v>5</v>
      </c>
      <c r="B14" s="30">
        <f>IF('2006'!$J12&gt;0,'2006'!$J12,"")</f>
        <v>0.29403729071537293</v>
      </c>
      <c r="C14" s="30">
        <f>IF('2007'!$J12&gt;0,'2007'!$J12,"")</f>
        <v>0.36012983091787437</v>
      </c>
      <c r="D14" s="30">
        <f>IF('2008'!$J12&gt;0,'2008'!$J12,"")</f>
        <v>0.26984018264840182</v>
      </c>
      <c r="E14" s="6">
        <f>IF('2009'!$J12&gt;0,'2009'!$J12,"")</f>
        <v>0.26103500761035009</v>
      </c>
      <c r="F14" s="6">
        <f>IF('2010'!$J12&gt;0,'2010'!$J12,"")</f>
        <v>9.9315068493150679E-2</v>
      </c>
      <c r="G14" s="6">
        <f>IF('2011'!$J12&gt;0,'2011'!$J12,"")</f>
        <v>0.25114155251141551</v>
      </c>
      <c r="H14" s="6">
        <f>IF('2012'!$J12&gt;0,'2012'!$J12,"")</f>
        <v>0.22450532724505326</v>
      </c>
      <c r="I14" s="6">
        <f>IF('2013'!$J12&gt;0,'2013'!$J12,"")</f>
        <v>0.25989345509893458</v>
      </c>
      <c r="J14" s="6">
        <f>IF('2014'!$J12&gt;0,'2014'!$J12,"")</f>
        <v>0.25418569254185691</v>
      </c>
      <c r="K14" s="6">
        <f>IF('2015'!$J12&gt;0,'2015'!$J12,"")</f>
        <v>0.25646879756468799</v>
      </c>
      <c r="L14" s="6">
        <f>IF('2016'!$J12&gt;0,'2016'!$J12,"")</f>
        <v>0.23744292237442921</v>
      </c>
      <c r="M14" s="6">
        <f>IF('2017'!$J12&gt;0,'2017'!$J12,"")</f>
        <v>0.16894977168949771</v>
      </c>
      <c r="N14" s="6">
        <f>IF('2018'!$J12&gt;0,'2018'!$J12,"")</f>
        <v>0.20294266869609334</v>
      </c>
      <c r="O14" s="6">
        <f>IF('2019'!$J12&gt;0,'2019'!$J12,"")</f>
        <v>0.22281413833925248</v>
      </c>
      <c r="P14" s="6">
        <f>IF('2020'!$J12&gt;0,'2020'!$J12,"")</f>
        <v>0.23563898754157511</v>
      </c>
      <c r="Q14" s="6">
        <f>IF('2021'!$J15&gt;0,'2021'!$J15,"")</f>
        <v>0.27853881278538811</v>
      </c>
    </row>
    <row r="15" spans="1:17" x14ac:dyDescent="0.3">
      <c r="A15" s="13" t="s">
        <v>15</v>
      </c>
      <c r="B15" s="30" t="str">
        <f>IF('2006'!$J13&gt;0,'2006'!$J13,"")</f>
        <v/>
      </c>
      <c r="C15" s="30" t="str">
        <f>IF('2007'!$J13&gt;0,'2007'!$J13,"")</f>
        <v/>
      </c>
      <c r="D15" s="30" t="str">
        <f>IF('2008'!$J13&gt;0,'2008'!$J13,"")</f>
        <v/>
      </c>
      <c r="E15" s="6" t="str">
        <f>IF('2009'!$J13&gt;0,'2009'!$J13,"")</f>
        <v/>
      </c>
      <c r="F15" s="6" t="str">
        <f>IF('2010'!$J13&gt;0,'2010'!$J13,"")</f>
        <v/>
      </c>
      <c r="G15" s="6">
        <f>IF('2011'!$J13&gt;0,'2011'!$J13,"")</f>
        <v>0.22784771072442306</v>
      </c>
      <c r="H15" s="6">
        <f>IF('2012'!$J13&gt;0,'2012'!$J13,"")</f>
        <v>0.26548809083055658</v>
      </c>
      <c r="I15" s="6">
        <f>IF('2013'!$J13&gt;0,'2013'!$J13,"")</f>
        <v>0.27937183759101569</v>
      </c>
      <c r="J15" s="6">
        <f>IF('2014'!$J13&gt;0,'2014'!$J13,"")</f>
        <v>0.28430828088362337</v>
      </c>
      <c r="K15" s="6">
        <f>IF('2015'!$J13&gt;0,'2015'!$J13,"")</f>
        <v>0.28307417006047142</v>
      </c>
      <c r="L15" s="6">
        <f>IF('2016'!$J13&gt;0,'2016'!$J13,"")</f>
        <v>0.2807602122670616</v>
      </c>
      <c r="M15" s="6">
        <f>IF('2017'!$J13&gt;0,'2017'!$J13,"")</f>
        <v>0.27397260273972601</v>
      </c>
      <c r="N15" s="6">
        <f>IF('2018'!$J13&gt;0,'2018'!$J13,"")</f>
        <v>0.19939117199391171</v>
      </c>
      <c r="O15" s="6">
        <f>IF('2019'!$J13&gt;0,'2019'!$J13,"")</f>
        <v>0.14079147640791476</v>
      </c>
      <c r="P15" s="6">
        <f>IF('2020'!$J13&gt;0,'2020'!$J13,"")</f>
        <v>7.1537290715372903E-2</v>
      </c>
      <c r="Q15" s="6">
        <f>IF('2021'!$J16&gt;0,'2021'!$J16,"")</f>
        <v>0.2454337899543379</v>
      </c>
    </row>
    <row r="16" spans="1:17" x14ac:dyDescent="0.3">
      <c r="A16" s="13" t="s">
        <v>73</v>
      </c>
      <c r="B16" s="30" t="str">
        <f>IF('2006'!$J14&gt;0,'2006'!$J14,"")</f>
        <v/>
      </c>
      <c r="C16" s="30" t="str">
        <f>IF('2007'!$J14&gt;0,'2007'!$J14,"")</f>
        <v/>
      </c>
      <c r="D16" s="30" t="str">
        <f>IF('2008'!$J14&gt;0,'2008'!$J14,"")</f>
        <v/>
      </c>
      <c r="E16" s="6">
        <f>IF('2009'!$J14&gt;0,'2009'!$J14,"")</f>
        <v>0.22306947470346164</v>
      </c>
      <c r="F16" s="6">
        <f>IF('2010'!$J14&gt;0,'2010'!$J14,"")</f>
        <v>0.24454591577879248</v>
      </c>
      <c r="G16" s="6">
        <f>IF('2011'!$J14&gt;0,'2011'!$J14,"")</f>
        <v>0.26494165398274988</v>
      </c>
      <c r="H16" s="6">
        <f>IF('2012'!$J14&gt;0,'2012'!$J14,"")</f>
        <v>0.25834601725012685</v>
      </c>
      <c r="I16" s="6">
        <f>IF('2013'!$J14&gt;0,'2013'!$J14,"")</f>
        <v>0.27143581938102485</v>
      </c>
      <c r="J16" s="6">
        <f>IF('2014'!$J14&gt;0,'2014'!$J14,"")</f>
        <v>0.27468290208016233</v>
      </c>
      <c r="K16" s="6">
        <f>IF('2015'!$J14&gt;0,'2015'!$J14,"")</f>
        <v>0.26220192795535258</v>
      </c>
      <c r="L16" s="6">
        <f>IF('2016'!$J14&gt;0,'2016'!$J14,"")</f>
        <v>0.27153729071537291</v>
      </c>
      <c r="M16" s="6">
        <f>IF('2017'!$J14&gt;0,'2017'!$J14,"")</f>
        <v>0.2723490613901573</v>
      </c>
      <c r="N16" s="6">
        <f>IF('2018'!$J14&gt;0,'2018'!$J14,"")</f>
        <v>0.2073820395738204</v>
      </c>
      <c r="O16" s="6">
        <f>IF('2019'!$J14&gt;0,'2019'!$J14,"")</f>
        <v>0.2758751902587519</v>
      </c>
      <c r="P16" s="6">
        <f>IF('2020'!$J14&gt;0,'2020'!$J14,"")</f>
        <v>0.12595129375951294</v>
      </c>
      <c r="Q16" s="6">
        <f>IF('2021'!$J17&gt;0,'2021'!$J17,"")</f>
        <v>0.21477812704193874</v>
      </c>
    </row>
    <row r="17" spans="1:17" x14ac:dyDescent="0.3">
      <c r="A17" s="13" t="s">
        <v>17</v>
      </c>
      <c r="B17" s="30" t="str">
        <f>IF('2006'!$J15&gt;0,'2006'!$J15,"")</f>
        <v/>
      </c>
      <c r="C17" s="30" t="str">
        <f>IF('2007'!$J15&gt;0,'2007'!$J15,"")</f>
        <v/>
      </c>
      <c r="D17" s="30" t="str">
        <f>IF('2008'!$J15&gt;0,'2008'!$J15,"")</f>
        <v/>
      </c>
      <c r="E17" s="6" t="str">
        <f>IF('2009'!$J15&gt;0,'2009'!$J15,"")</f>
        <v/>
      </c>
      <c r="F17" s="6" t="str">
        <f>IF('2010'!$J15&gt;0,'2010'!$J15,"")</f>
        <v/>
      </c>
      <c r="G17" s="6" t="str">
        <f>IF('2011'!$J15&gt;0,'2011'!$J15,"")</f>
        <v/>
      </c>
      <c r="H17" s="6">
        <f>IF('2012'!$J15&gt;0,'2012'!$J15,"")</f>
        <v>0.23717092791322553</v>
      </c>
      <c r="I17" s="6">
        <f>IF('2013'!$J15&gt;0,'2013'!$J15,"")</f>
        <v>0.26669371390387092</v>
      </c>
      <c r="J17" s="6">
        <f>IF('2014'!$J15&gt;0,'2014'!$J15,"")</f>
        <v>0.26450606971823143</v>
      </c>
      <c r="K17" s="6">
        <f>IF('2015'!$J15&gt;0,'2015'!$J15,"")</f>
        <v>0.25635212320812051</v>
      </c>
      <c r="L17" s="6">
        <f>IF('2016'!$J15&gt;0,'2016'!$J15,"")</f>
        <v>0.26609708367142382</v>
      </c>
      <c r="M17" s="6">
        <f>IF('2017'!$J15&gt;0,'2017'!$J15,"")</f>
        <v>0.26569933018312569</v>
      </c>
      <c r="N17" s="6">
        <f>IF('2018'!$J15&gt;0,'2018'!$J15,"")</f>
        <v>0.27273849191657412</v>
      </c>
      <c r="O17" s="6">
        <f>IF('2019'!$J15&gt;0,'2019'!$J15,"")</f>
        <v>0.28446254473651733</v>
      </c>
      <c r="P17" s="6">
        <f>IF('2020'!$J15&gt;0,'2020'!$J15,"")</f>
        <v>0.10613353079106504</v>
      </c>
      <c r="Q17" s="6">
        <f>IF('2021'!$J18&gt;0,'2021'!$J18,"")</f>
        <v>0.22521965613306297</v>
      </c>
    </row>
    <row r="18" spans="1:17" x14ac:dyDescent="0.3">
      <c r="A18" s="13" t="s">
        <v>171</v>
      </c>
      <c r="B18" s="30"/>
      <c r="C18" s="30"/>
      <c r="D18" s="30"/>
      <c r="E18" s="6"/>
      <c r="F18" s="6"/>
      <c r="G18" s="6"/>
      <c r="H18" s="6"/>
      <c r="I18" s="6"/>
      <c r="J18" s="6"/>
      <c r="K18" s="6"/>
      <c r="L18" s="6">
        <f>IF('2016'!$J16&gt;0,'2016'!$J16,"")</f>
        <v>0.26974136563177659</v>
      </c>
      <c r="M18" s="6">
        <f>IF('2017'!$J16&gt;0,'2017'!$J16,"")</f>
        <v>0.36185892350275911</v>
      </c>
      <c r="N18" s="6">
        <f>IF('2018'!$J16&gt;0,'2018'!$J16,"")</f>
        <v>0.25134449518011159</v>
      </c>
      <c r="O18" s="6">
        <f>IF('2019'!$J16&gt;0,'2019'!$J16,"")</f>
        <v>0.24773912673649373</v>
      </c>
      <c r="P18" s="6">
        <f>IF('2020'!$J16&gt;0,'2020'!$J16,"")</f>
        <v>0.25005896249212217</v>
      </c>
      <c r="Q18" s="6">
        <f>IF('2021'!$J19&gt;0,'2021'!$J19,"")</f>
        <v>0.29515817187050064</v>
      </c>
    </row>
    <row r="19" spans="1:17" x14ac:dyDescent="0.3">
      <c r="A19" s="13" t="s">
        <v>19</v>
      </c>
      <c r="B19" s="30">
        <f>IF('2006'!$J16&gt;0,'2006'!$J16,"")</f>
        <v>0.19885647929459926</v>
      </c>
      <c r="C19" s="30">
        <f>IF('2007'!$J16&gt;0,'2007'!$J16,"")</f>
        <v>0.20915997480711698</v>
      </c>
      <c r="D19" s="30">
        <f>IF('2008'!$J16&gt;0,'2008'!$J16,"")</f>
        <v>0.18760825066918596</v>
      </c>
      <c r="E19" s="6">
        <f>IF('2009'!$J16&gt;0,'2009'!$J16,"")</f>
        <v>0.19386710754211936</v>
      </c>
      <c r="F19" s="6">
        <f>IF('2010'!$J16&gt;0,'2010'!$J16,"")</f>
        <v>0.17713745866792632</v>
      </c>
      <c r="G19" s="6">
        <f>IF('2011'!$J16&gt;0,'2011'!$J16,"")</f>
        <v>0.21354904739411115</v>
      </c>
      <c r="H19" s="6">
        <f>IF('2012'!$J16&gt;0,'2012'!$J16,"")</f>
        <v>0.18697842859392222</v>
      </c>
      <c r="I19" s="6">
        <f>IF('2013'!$J16&gt;0,'2013'!$J16,"")</f>
        <v>0.20173988348291608</v>
      </c>
      <c r="J19" s="6">
        <f>IF('2014'!$J16&gt;0,'2014'!$J16,"")</f>
        <v>0.20666036844591404</v>
      </c>
      <c r="K19" s="6">
        <f>IF('2015'!$J16&gt;0,'2015'!$J16,"")</f>
        <v>0.19386710754211936</v>
      </c>
      <c r="L19" s="6">
        <f>IF('2016'!$J17&gt;0,'2016'!$J17,"")</f>
        <v>0.19681939851991812</v>
      </c>
      <c r="M19" s="6">
        <f>IF('2017'!$J17&gt;0,'2017'!$J17,"")</f>
        <v>0.20469217446071486</v>
      </c>
      <c r="N19" s="6">
        <f>IF('2018'!$J17&gt;0,'2018'!$J17,"")</f>
        <v>0.24879480693045677</v>
      </c>
      <c r="O19" s="6">
        <f>IF('2019'!$J17&gt;0,'2019'!$J17,"")</f>
        <v>0.26601882531361787</v>
      </c>
      <c r="P19" s="6">
        <f>IF('2020'!$J17&gt;0,'2020'!$J17,"")</f>
        <v>0.25963107660353096</v>
      </c>
      <c r="Q19" s="6">
        <f>IF('2021'!$J20&gt;0,'2021'!$J20,"")</f>
        <v>0.10136199023775781</v>
      </c>
    </row>
    <row r="20" spans="1:17" x14ac:dyDescent="0.3">
      <c r="A20" s="13" t="s">
        <v>14</v>
      </c>
      <c r="B20" s="30">
        <f>IF('2006'!$J17&gt;0,'2006'!$J17,"")</f>
        <v>0.20088803890173754</v>
      </c>
      <c r="C20" s="30">
        <f>IF('2007'!$J17&gt;0,'2007'!$J17,"")</f>
        <v>0.25868864066566205</v>
      </c>
      <c r="D20" s="30">
        <f>IF('2008'!$J17&gt;0,'2008'!$J17,"")</f>
        <v>0.26582656308683711</v>
      </c>
      <c r="E20" s="6">
        <f>IF('2009'!$J17&gt;0,'2009'!$J17,"")</f>
        <v>0.26087687046591157</v>
      </c>
      <c r="F20" s="6">
        <f>IF('2010'!$J17&gt;0,'2010'!$J17,"")</f>
        <v>0.2444701417304157</v>
      </c>
      <c r="G20" s="6">
        <f>IF('2011'!$J17&gt;0,'2011'!$J17,"")</f>
        <v>0.26201348119156337</v>
      </c>
      <c r="H20" s="6">
        <f>IF('2012'!$J17&gt;0,'2012'!$J17,"")</f>
        <v>0.25949317045207454</v>
      </c>
      <c r="I20" s="6">
        <f>IF('2013'!$J17&gt;0,'2013'!$J17,"")</f>
        <v>0.26912965269129652</v>
      </c>
      <c r="J20" s="6">
        <f>IF('2014'!$J17&gt;0,'2014'!$J17,"")</f>
        <v>0.2902804957599478</v>
      </c>
      <c r="K20" s="6">
        <f>IF('2015'!$J17&gt;0,'2015'!$J17,"")</f>
        <v>0.28089110280891105</v>
      </c>
      <c r="L20" s="6">
        <f>IF('2016'!$J18&gt;0,'2016'!$J18,"")</f>
        <v>0.27421969202791119</v>
      </c>
      <c r="M20" s="6">
        <f>IF('2017'!$J18&gt;0,'2017'!$J18,"")</f>
        <v>0.28192887781928877</v>
      </c>
      <c r="N20" s="6">
        <f>IF('2018'!$J18&gt;0,'2018'!$J18,"")</f>
        <v>0.33218149656505819</v>
      </c>
      <c r="O20" s="6">
        <f>IF('2019'!$J18&gt;0,'2019'!$J18,"")</f>
        <v>0.3342383479369781</v>
      </c>
      <c r="P20" s="6">
        <f>IF('2020'!$J18&gt;0,'2020'!$J18,"")</f>
        <v>0.33188766065478392</v>
      </c>
      <c r="Q20" s="6">
        <f>IF('2021'!$J21&gt;0,'2021'!$J21,"")</f>
        <v>0.22445590938741625</v>
      </c>
    </row>
    <row r="21" spans="1:17" x14ac:dyDescent="0.3">
      <c r="A21" s="13" t="s">
        <v>11</v>
      </c>
      <c r="B21" s="30" t="str">
        <f>IF('2006'!$J18&gt;0,'2006'!$J18,"")</f>
        <v/>
      </c>
      <c r="C21" s="30" t="str">
        <f>IF('2007'!$J18&gt;0,'2007'!$J18,"")</f>
        <v/>
      </c>
      <c r="D21" s="30">
        <f>IF('2008'!$J18&gt;0,'2008'!$J18,"")</f>
        <v>0.2681403757568443</v>
      </c>
      <c r="E21" s="6">
        <f>IF('2009'!$J18&gt;0,'2009'!$J18,"")</f>
        <v>0.25571782028845574</v>
      </c>
      <c r="F21" s="6">
        <f>IF('2010'!$J18&gt;0,'2010'!$J18,"")</f>
        <v>0.24339709935027054</v>
      </c>
      <c r="G21" s="6">
        <f>IF('2011'!$J18&gt;0,'2011'!$J18,"")</f>
        <v>0.2540834389395128</v>
      </c>
      <c r="H21" s="6">
        <f>IF('2012'!$J18&gt;0,'2012'!$J18,"")</f>
        <v>0.25307766580170177</v>
      </c>
      <c r="I21" s="6">
        <f>IF('2013'!$J18&gt;0,'2013'!$J18,"")</f>
        <v>0.26329965312913767</v>
      </c>
      <c r="J21" s="6">
        <f>IF('2014'!$J18&gt;0,'2014'!$J18,"")</f>
        <v>0.28419245543288374</v>
      </c>
      <c r="K21" s="6">
        <f>IF('2015'!$J18&gt;0,'2015'!$J18,"")</f>
        <v>0.27311675300680149</v>
      </c>
      <c r="L21" s="6">
        <f>IF('2016'!$J19&gt;0,'2016'!$J19,"")</f>
        <v>0.26682374026470929</v>
      </c>
      <c r="M21" s="6">
        <f>IF('2017'!$J19&gt;0,'2017'!$J19,"")</f>
        <v>0.275130517084271</v>
      </c>
      <c r="N21" s="6">
        <f>IF('2018'!$J19&gt;0,'2018'!$J19,"")</f>
        <v>0.18402613761612344</v>
      </c>
      <c r="O21" s="6">
        <f>IF('2019'!$J19&gt;0,'2019'!$J19,"")</f>
        <v>0.18501023460872304</v>
      </c>
      <c r="P21" s="6">
        <f>IF('2020'!$J19&gt;0,'2020'!$J19,"")</f>
        <v>0.16828058573452997</v>
      </c>
      <c r="Q21" s="6">
        <f>IF('2021'!$J22&gt;0,'2021'!$J22,"")</f>
        <v>0.21182280889882346</v>
      </c>
    </row>
    <row r="22" spans="1:17" x14ac:dyDescent="0.3">
      <c r="A22" s="7" t="s">
        <v>21</v>
      </c>
      <c r="B22" s="30" t="str">
        <f>IF('2006'!$J19&gt;0,'2006'!$J19,"")</f>
        <v/>
      </c>
      <c r="C22" s="30" t="str">
        <f>IF('2007'!$J19&gt;0,'2007'!$J19,"")</f>
        <v/>
      </c>
      <c r="D22" s="30" t="str">
        <f>IF('2008'!$J19&gt;0,'2008'!$J19,"")</f>
        <v/>
      </c>
      <c r="E22" s="6" t="str">
        <f>IF('2009'!$J19&gt;0,'2009'!$J19,"")</f>
        <v/>
      </c>
      <c r="F22" s="6" t="str">
        <f>IF('2010'!$J19&gt;0,'2010'!$J19,"")</f>
        <v/>
      </c>
      <c r="G22" s="6" t="str">
        <f>IF('2011'!$J19&gt;0,'2011'!$J19,"")</f>
        <v/>
      </c>
      <c r="H22" s="6">
        <f>IF('2012'!$J19&gt;0,'2012'!$J19,"")</f>
        <v>0.18020613762390753</v>
      </c>
      <c r="I22" s="6">
        <f>IF('2013'!$J19&gt;0,'2013'!$J19,"")</f>
        <v>0.27174776721863775</v>
      </c>
      <c r="J22" s="6">
        <f>IF('2014'!$J19&gt;0,'2014'!$J19,"")</f>
        <v>0.28562650308828358</v>
      </c>
      <c r="K22" s="6">
        <f>IF('2015'!$J19&gt;0,'2015'!$J19,"")</f>
        <v>0.28785133860937184</v>
      </c>
      <c r="L22" s="6">
        <f>IF('2016'!$J20&gt;0,'2016'!$J20,"")</f>
        <v>0.27736282829567005</v>
      </c>
      <c r="M22" s="6">
        <f>IF('2017'!$J20&gt;0,'2017'!$J20,"")</f>
        <v>0.28721567131763237</v>
      </c>
      <c r="N22" s="6">
        <f>IF('2018'!$J20&gt;0,'2018'!$J20,"")</f>
        <v>0.26487971693451146</v>
      </c>
      <c r="O22" s="6">
        <f>IF('2019'!$J20&gt;0,'2019'!$J20,"")</f>
        <v>0.26497855264978554</v>
      </c>
      <c r="P22" s="6">
        <f>IF('2020'!$J20&gt;0,'2020'!$J20,"")</f>
        <v>0.2663128348059855</v>
      </c>
      <c r="Q22" s="6">
        <f>IF('2021'!$J23&gt;0,'2021'!$J23,"")</f>
        <v>0.23743443499516217</v>
      </c>
    </row>
    <row r="23" spans="1:17" x14ac:dyDescent="0.3">
      <c r="A23" s="13" t="s">
        <v>150</v>
      </c>
      <c r="B23" s="30"/>
      <c r="C23" s="30"/>
      <c r="D23" s="30"/>
      <c r="E23" s="6"/>
      <c r="F23" s="6"/>
      <c r="G23" s="6"/>
      <c r="H23" s="6"/>
      <c r="I23" s="6"/>
      <c r="J23" s="6"/>
      <c r="K23" s="6">
        <f>IF('2015'!$J20&gt;0,'2015'!$J20,"")</f>
        <v>0.47606967698291897</v>
      </c>
      <c r="L23" s="6">
        <f>IF('2016'!$J21&gt;0,'2016'!$J21,"")</f>
        <v>0.38756412424601161</v>
      </c>
      <c r="M23" s="6">
        <f>IF('2017'!$J21&gt;0,'2017'!$J21,"")</f>
        <v>0.34387507751282487</v>
      </c>
      <c r="N23" s="6">
        <f>IF('2018'!$J21&gt;0,'2018'!$J21,"")</f>
        <v>0.25574803783862704</v>
      </c>
      <c r="O23" s="6">
        <f>IF('2019'!$J21&gt;0,'2019'!$J21,"")</f>
        <v>0.25272739172242276</v>
      </c>
      <c r="P23" s="6">
        <f>IF('2020'!$J21&gt;0,'2020'!$J21,"")</f>
        <v>0.25433488222396555</v>
      </c>
      <c r="Q23" s="6">
        <f>IF('2021'!$J24&gt;0,'2021'!$J24,"")</f>
        <v>0.34387507751282487</v>
      </c>
    </row>
    <row r="24" spans="1:17" x14ac:dyDescent="0.3">
      <c r="A24" s="13" t="s">
        <v>35</v>
      </c>
      <c r="B24" s="30" t="str">
        <f>IF('2006'!$J21&gt;0,'2006'!$J21,"")</f>
        <v/>
      </c>
      <c r="C24" s="30" t="str">
        <f>IF('2007'!$J21&gt;0,'2007'!$J21,"")</f>
        <v/>
      </c>
      <c r="D24" s="30">
        <f>IF('2008'!$J21&gt;0,'2008'!$J21,"")</f>
        <v>0.29472569651247432</v>
      </c>
      <c r="E24" s="6">
        <f>IF('2009'!$J21&gt;0,'2009'!$J21,"")</f>
        <v>0.29415657468069617</v>
      </c>
      <c r="F24" s="6">
        <f>IF('2010'!$J21&gt;0,'2010'!$J21,"")</f>
        <v>0.28025941367215934</v>
      </c>
      <c r="G24" s="6">
        <f>IF('2011'!$J21&gt;0,'2011'!$J21,"")</f>
        <v>0.2895241876778506</v>
      </c>
      <c r="H24" s="6">
        <f>IF('2012'!$J21&gt;0,'2012'!$J21,"")</f>
        <v>0.2868771093905102</v>
      </c>
      <c r="I24" s="6">
        <f>IF('2013'!$J21&gt;0,'2013'!$J21,"")</f>
        <v>0.29614188339620146</v>
      </c>
      <c r="J24" s="6">
        <f>IF('2014'!$J21&gt;0,'2014'!$J21,"")</f>
        <v>0.31764939448084178</v>
      </c>
      <c r="K24" s="6">
        <f>IF('2015'!$J21&gt;0,'2015'!$J21,"")</f>
        <v>0.3020978095427172</v>
      </c>
      <c r="L24" s="6">
        <f>IF('2016'!$J22&gt;0,'2016'!$J22,"")</f>
        <v>0.31070081397657334</v>
      </c>
      <c r="M24" s="6">
        <f>IF('2017'!$J22&gt;0,'2017'!$J22,"")</f>
        <v>0.3199655879822646</v>
      </c>
      <c r="N24" s="6">
        <f>IF('2018'!$J22&gt;0,'2018'!$J22,"")</f>
        <v>0.25898144910953608</v>
      </c>
      <c r="O24" s="6">
        <f>IF('2019'!$J22&gt;0,'2019'!$J22,"")</f>
        <v>0.27573373393763473</v>
      </c>
      <c r="P24" s="6">
        <f>IF('2020'!$J22&gt;0,'2020'!$J22,"")</f>
        <v>0.25886506764441275</v>
      </c>
      <c r="Q24" s="6">
        <f>IF('2021'!$J25&gt;0,'2021'!$J25,"")</f>
        <v>0.2640460591621997</v>
      </c>
    </row>
    <row r="25" spans="1:17" x14ac:dyDescent="0.3">
      <c r="A25" s="13" t="s">
        <v>144</v>
      </c>
      <c r="B25" s="30"/>
      <c r="C25" s="30"/>
      <c r="D25" s="30"/>
      <c r="E25" s="6"/>
      <c r="F25" s="6"/>
      <c r="G25" s="6"/>
      <c r="H25" s="6"/>
      <c r="I25" s="6">
        <f>IF('2013'!$J22&gt;0,'2013'!$J22,"")</f>
        <v>0.11880632564957</v>
      </c>
      <c r="J25" s="6">
        <f>IF('2014'!$J22&gt;0,'2014'!$J22,"")</f>
        <v>0.33322635077635299</v>
      </c>
      <c r="K25" s="6">
        <f>IF('2015'!$J22&gt;0,'2015'!$J22,"")</f>
        <v>0.34878744997349748</v>
      </c>
      <c r="L25" s="6">
        <f>IF('2016'!$J23&gt;0,'2016'!$J23,"")</f>
        <v>0.322163381815883</v>
      </c>
      <c r="M25" s="6">
        <f>IF('2017'!$J23&gt;0,'2017'!$J23,"")</f>
        <v>0.34027747385005908</v>
      </c>
      <c r="N25" s="6">
        <f>IF('2018'!$J23&gt;0,'2018'!$J23,"")</f>
        <v>0.32696318845481709</v>
      </c>
      <c r="O25" s="6">
        <f>IF('2019'!$J23&gt;0,'2019'!$J23,"")</f>
        <v>0.35514967021816335</v>
      </c>
      <c r="P25" s="6">
        <f>IF('2020'!$J23&gt;0,'2020'!$J23,"")</f>
        <v>0.13388578837589493</v>
      </c>
      <c r="Q25" s="6">
        <f>IF('2021'!$J26&gt;0,'2021'!$J26,"")</f>
        <v>0.29882173302016624</v>
      </c>
    </row>
    <row r="26" spans="1:17" x14ac:dyDescent="0.3">
      <c r="A26" s="7" t="s">
        <v>241</v>
      </c>
      <c r="B26" s="30"/>
      <c r="C26" s="30"/>
      <c r="D26" s="30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>
        <f>IF('2021'!$J27&gt;0,'2021'!$J27,"")</f>
        <v>0.12427411280078969</v>
      </c>
    </row>
    <row r="27" spans="1:17" x14ac:dyDescent="0.3">
      <c r="A27" s="13" t="s">
        <v>7</v>
      </c>
      <c r="B27" s="30" t="str">
        <f>IF('2006'!$J22&gt;0,'2006'!$J22,"")</f>
        <v/>
      </c>
      <c r="C27" s="30">
        <f>IF('2007'!$J22&gt;0,'2007'!$J22,"")</f>
        <v>5.878995433789954E-2</v>
      </c>
      <c r="D27" s="30">
        <f>IF('2008'!$J22&gt;0,'2008'!$J22,"")</f>
        <v>0.21343607305936074</v>
      </c>
      <c r="E27" s="6">
        <f>IF('2009'!$J22&gt;0,'2009'!$J22,"")</f>
        <v>0.24143835616438356</v>
      </c>
      <c r="F27" s="6">
        <f>IF('2010'!$J22&gt;0,'2010'!$J22,"")</f>
        <v>0.27568493150684931</v>
      </c>
      <c r="G27" s="6">
        <f>IF('2011'!$J22&gt;0,'2011'!$J22,"")</f>
        <v>0.21917808219178081</v>
      </c>
      <c r="H27" s="6">
        <f>IF('2012'!$J22&gt;0,'2012'!$J22,"")</f>
        <v>0.27682648401826482</v>
      </c>
      <c r="I27" s="6">
        <f>IF('2013'!$J22&gt;0,'2013'!$J22,"")</f>
        <v>0.11880632564957</v>
      </c>
      <c r="J27" s="6">
        <f>IF('2014'!$J22&gt;0,'2014'!$J22,"")</f>
        <v>0.33322635077635299</v>
      </c>
      <c r="K27" s="6">
        <f>IF('2015'!$J22&gt;0,'2015'!$J22,"")</f>
        <v>0.34878744997349748</v>
      </c>
      <c r="L27" s="6">
        <f>IF('2016'!$J24&gt;0,'2016'!$J24,"")</f>
        <v>0.31792237442922372</v>
      </c>
      <c r="M27" s="6">
        <f>IF('2017'!$J24&gt;0,'2017'!$J24,"")</f>
        <v>0.295662100456621</v>
      </c>
      <c r="N27" s="6">
        <f>IF('2018'!$J24&gt;0,'2018'!$J24,"")</f>
        <v>0.19257494540401032</v>
      </c>
      <c r="O27" s="6">
        <f>IF('2019'!$J24&gt;0,'2019'!$J24,"")</f>
        <v>0.1118390576401297</v>
      </c>
      <c r="P27" s="6">
        <f>IF('2020'!$J24&gt;0,'2020'!$J24,"")</f>
        <v>0.29514922903844881</v>
      </c>
      <c r="Q27" s="6">
        <f>IF('2021'!$J28&gt;0,'2021'!$J28,"")</f>
        <v>0.19406392694063926</v>
      </c>
    </row>
    <row r="28" spans="1:17" x14ac:dyDescent="0.3">
      <c r="A28" s="13" t="s">
        <v>37</v>
      </c>
      <c r="B28" s="30">
        <f>IF('2006'!$J23&gt;0,'2006'!$J23,"")</f>
        <v>0.24972325999723261</v>
      </c>
      <c r="C28" s="30">
        <f>IF('2007'!$J23&gt;0,'2007'!$J23,"")</f>
        <v>0.26873183893731839</v>
      </c>
      <c r="D28" s="30">
        <f>IF('2008'!$J23&gt;0,'2008'!$J23,"")</f>
        <v>0.19665836446658364</v>
      </c>
      <c r="E28" s="6">
        <f>IF('2009'!$J23&gt;0,'2009'!$J23,"")</f>
        <v>0.23695862736958628</v>
      </c>
      <c r="F28" s="6">
        <f>IF('2010'!$J23&gt;0,'2010'!$J23,"")</f>
        <v>0.23004012730040127</v>
      </c>
      <c r="G28" s="6">
        <f>IF('2011'!$J23&gt;0,'2011'!$J23,"")</f>
        <v>0.23176975231769753</v>
      </c>
      <c r="H28" s="6">
        <f>IF('2012'!$J23&gt;0,'2012'!$J23,"")</f>
        <v>0.20755500207555003</v>
      </c>
      <c r="I28" s="6">
        <f>IF('2013'!$J23&gt;0,'2013'!$J23,"")</f>
        <v>0.30536529680365299</v>
      </c>
      <c r="J28" s="6">
        <f>IF('2014'!$J23&gt;0,'2014'!$J23,"")</f>
        <v>0.26598173515981738</v>
      </c>
      <c r="K28" s="6">
        <f>IF('2015'!$J23&gt;0,'2015'!$J23,"")</f>
        <v>0.28881278538812788</v>
      </c>
      <c r="L28" s="6">
        <f>IF('2016'!$J25&gt;0,'2016'!$J25,"")</f>
        <v>0.21620312716203127</v>
      </c>
      <c r="M28" s="6">
        <f>IF('2017'!$J25&gt;0,'2017'!$J25,"")</f>
        <v>0.12280337622803376</v>
      </c>
      <c r="N28" s="6">
        <f>IF('2018'!$J25&gt;0,'2018'!$J25,"")</f>
        <v>0.35206986933539519</v>
      </c>
      <c r="O28" s="6">
        <f>IF('2019'!$J25&gt;0,'2019'!$J25,"")</f>
        <v>0.33504991708851833</v>
      </c>
      <c r="P28" s="6">
        <f>IF('2020'!$J25&gt;0,'2020'!$J25,"")</f>
        <v>0.34234418233717984</v>
      </c>
      <c r="Q28" s="6">
        <f>IF('2021'!$J29&gt;0,'2021'!$J29,"")</f>
        <v>2.9403625294036249E-2</v>
      </c>
    </row>
    <row r="29" spans="1:17" x14ac:dyDescent="0.3">
      <c r="A29" s="13" t="s">
        <v>33</v>
      </c>
      <c r="B29" s="30" t="str">
        <f>IF('2006'!$J24&gt;0,'2006'!$J24,"")</f>
        <v/>
      </c>
      <c r="C29" s="30" t="str">
        <f>IF('2007'!$J24&gt;0,'2007'!$J24,"")</f>
        <v/>
      </c>
      <c r="D29" s="30" t="str">
        <f>IF('2008'!$J24&gt;0,'2008'!$J24,"")</f>
        <v/>
      </c>
      <c r="E29" s="6">
        <f>IF('2009'!$J24&gt;0,'2009'!$J24,"")</f>
        <v>0.20035792094615623</v>
      </c>
      <c r="F29" s="6">
        <f>IF('2010'!$J24&gt;0,'2010'!$J24,"")</f>
        <v>0.23139088207581357</v>
      </c>
      <c r="G29" s="6">
        <f>IF('2011'!$J24&gt;0,'2011'!$J24,"")</f>
        <v>0.23238747553816047</v>
      </c>
      <c r="H29" s="6">
        <f>IF('2012'!$J24&gt;0,'2012'!$J24,"")</f>
        <v>0.22586431833007176</v>
      </c>
      <c r="I29" s="6">
        <f>IF('2013'!$J24&gt;0,'2013'!$J24,"")</f>
        <v>0.16604400166044</v>
      </c>
      <c r="J29" s="6">
        <f>IF('2014'!$J24&gt;0,'2014'!$J24,"")</f>
        <v>0.16085512660855128</v>
      </c>
      <c r="K29" s="6">
        <f>IF('2015'!$J24&gt;0,'2015'!$J24,"")</f>
        <v>0.23522900235229002</v>
      </c>
      <c r="L29" s="6">
        <f>IF('2016'!$J26&gt;0,'2016'!$J26,"")</f>
        <v>0.23990722620859606</v>
      </c>
      <c r="M29" s="6">
        <f>IF('2017'!$J26&gt;0,'2017'!$J26,"")</f>
        <v>0.24652098282235269</v>
      </c>
      <c r="N29" s="6">
        <f>IF('2018'!$J26&gt;0,'2018'!$J26,"")</f>
        <v>0.26769406392694062</v>
      </c>
      <c r="O29" s="6">
        <f>IF('2019'!$J26&gt;0,'2019'!$J26,"")</f>
        <v>0.15468036529680365</v>
      </c>
      <c r="P29" s="6">
        <f>IF('2020'!$J26&gt;0,'2020'!$J26,"")</f>
        <v>6.1643835616438353E-2</v>
      </c>
      <c r="Q29" s="6">
        <f>IF('2021'!$J30&gt;0,'2021'!$J30,"")</f>
        <v>0.20647604551714141</v>
      </c>
    </row>
    <row r="30" spans="1:17" x14ac:dyDescent="0.3">
      <c r="A30" s="13" t="s">
        <v>66</v>
      </c>
      <c r="B30" s="30">
        <f>IF('2006'!$J25&gt;0,'2006'!$J25,"")</f>
        <v>0.21196692114456173</v>
      </c>
      <c r="C30" s="30">
        <f>IF('2007'!$J25&gt;0,'2007'!$J25,"")</f>
        <v>0.26281629355194708</v>
      </c>
      <c r="D30" s="30">
        <f>IF('2008'!$J25&gt;0,'2008'!$J25,"")</f>
        <v>0.2093143476858508</v>
      </c>
      <c r="E30" s="6">
        <f>IF('2009'!$J25&gt;0,'2009'!$J25,"")</f>
        <v>0.18910596766554305</v>
      </c>
      <c r="F30" s="6">
        <f>IF('2010'!$J25&gt;0,'2010'!$J25,"")</f>
        <v>0.18764481118653709</v>
      </c>
      <c r="G30" s="6">
        <f>IF('2011'!$J25&gt;0,'2011'!$J25,"")</f>
        <v>0.20936648916710701</v>
      </c>
      <c r="H30" s="6">
        <f>IF('2012'!$J25&gt;0,'2012'!$J25,"")</f>
        <v>0.23154390345401576</v>
      </c>
      <c r="I30" s="6">
        <f>IF('2013'!$J25&gt;0,'2013'!$J25,"")</f>
        <v>0.23863883452924547</v>
      </c>
      <c r="J30" s="6">
        <f>IF('2014'!$J25&gt;0,'2014'!$J25,"")</f>
        <v>0.24262520837863302</v>
      </c>
      <c r="K30" s="6">
        <f>IF('2015'!$J25&gt;0,'2015'!$J25,"")</f>
        <v>0.23936362977458867</v>
      </c>
      <c r="L30" s="6">
        <f>IF('2016'!$J27&gt;0,'2016'!$J27,"")</f>
        <v>0.2568608347760219</v>
      </c>
      <c r="M30" s="6">
        <f>IF('2017'!$J27&gt;0,'2017'!$J27,"")</f>
        <v>0.26409200127000537</v>
      </c>
      <c r="N30" s="6">
        <f>IF('2018'!$J29&gt;0,'2018'!$J29,"")</f>
        <v>0.24502978921793667</v>
      </c>
      <c r="O30" s="6">
        <f>IF('2019'!$J29&gt;0,'2019'!$J29,"")</f>
        <v>0.25298510346426584</v>
      </c>
      <c r="P30" s="6">
        <f>IF('2020'!$J29&gt;0,'2020'!$J29,"")</f>
        <v>0.23931030057221955</v>
      </c>
      <c r="Q30" s="6">
        <f>IF('2021'!$J31&gt;0,'2021'!$J31,"")</f>
        <v>0.22273516059327003</v>
      </c>
    </row>
    <row r="31" spans="1:17" x14ac:dyDescent="0.3">
      <c r="A31" s="13" t="s">
        <v>184</v>
      </c>
      <c r="B31" s="35">
        <f>'2006'!$I25</f>
        <v>518.42700000000002</v>
      </c>
      <c r="C31" s="35">
        <f>'2007'!$I25</f>
        <v>800.18100000000004</v>
      </c>
      <c r="D31" s="35">
        <f>'2008'!$I25</f>
        <v>1282.325</v>
      </c>
      <c r="E31" s="35">
        <f>'2009'!$I25</f>
        <v>1959.6000000000004</v>
      </c>
      <c r="F31" s="35">
        <f>'2010'!$I25</f>
        <v>2215.7999999999997</v>
      </c>
      <c r="G31" s="35">
        <f>'2011'!$I25</f>
        <v>2472.3000000000002</v>
      </c>
      <c r="H31" s="35">
        <f>'2012'!$I25</f>
        <v>3060.2</v>
      </c>
      <c r="I31" s="35">
        <f>'2013'!$I26</f>
        <v>3540.8</v>
      </c>
      <c r="J31" s="35">
        <f>'2014'!$I26</f>
        <v>3985.1000000000004</v>
      </c>
      <c r="K31" s="35">
        <f>'2015'!$I26</f>
        <v>3983.8</v>
      </c>
      <c r="L31" s="35">
        <f>'2016'!$I27</f>
        <v>3943.3</v>
      </c>
      <c r="M31" s="35">
        <f>'2017'!$I27</f>
        <v>4218.8000000000011</v>
      </c>
      <c r="N31" s="35">
        <f>'2018'!$I29</f>
        <v>3985.1</v>
      </c>
      <c r="O31" s="35">
        <f>'2019'!$I29</f>
        <v>4399.5000000000018</v>
      </c>
      <c r="P31" s="35">
        <f>'2020'!I29</f>
        <v>4161.9000000000005</v>
      </c>
      <c r="Q31" s="35">
        <f>'2021'!I31</f>
        <v>4110.7000000000007</v>
      </c>
    </row>
    <row r="32" spans="1:17" x14ac:dyDescent="0.3">
      <c r="A32" s="13" t="s">
        <v>91</v>
      </c>
      <c r="B32" s="35">
        <f>'2006'!$K25</f>
        <v>2445.7919999999999</v>
      </c>
      <c r="C32" s="35">
        <f>'2007'!$K25</f>
        <v>3044.6399999999994</v>
      </c>
      <c r="D32" s="35">
        <f>'2008'!$K25</f>
        <v>6126.3119999999999</v>
      </c>
      <c r="E32" s="35">
        <f>'2009'!$K25</f>
        <v>10362.444</v>
      </c>
      <c r="F32" s="35">
        <f>'2010'!$K25</f>
        <v>11808.480000000001</v>
      </c>
      <c r="G32" s="35">
        <f>'2011'!$K25</f>
        <v>11808.480000000001</v>
      </c>
      <c r="H32" s="35">
        <f>'2012'!$K25</f>
        <v>13216.500000000002</v>
      </c>
      <c r="I32" s="35">
        <f>'2013'!$K26</f>
        <v>14154.072</v>
      </c>
      <c r="J32" s="35">
        <f>'2014'!$K26</f>
        <v>14223.9336</v>
      </c>
      <c r="K32" s="35">
        <f>'2015'!$K26</f>
        <v>14344.461600000001</v>
      </c>
      <c r="L32" s="35">
        <f>'2016'!$K27</f>
        <v>15351.892800000001</v>
      </c>
      <c r="M32" s="35">
        <f>'2017'!$K27</f>
        <v>15974.736000000001</v>
      </c>
      <c r="N32" s="35">
        <f>'2018'!$K29</f>
        <v>16263.736800000001</v>
      </c>
      <c r="O32" s="35">
        <f>'2019'!$K29</f>
        <v>17390.351999999999</v>
      </c>
      <c r="P32" s="35">
        <f>'2019'!$K29</f>
        <v>17390.351999999999</v>
      </c>
      <c r="Q32" s="35">
        <f>'2021'!K31</f>
        <v>18455.550479999994</v>
      </c>
    </row>
    <row r="34" spans="1:17" x14ac:dyDescent="0.3">
      <c r="A34" s="13" t="s">
        <v>92</v>
      </c>
      <c r="B34" s="6">
        <f>B31/B32</f>
        <v>0.21196692114456178</v>
      </c>
      <c r="C34" s="6">
        <f>C31/C32</f>
        <v>0.26281629355194708</v>
      </c>
      <c r="D34" s="6">
        <f t="shared" ref="D34" si="0">D31/D32</f>
        <v>0.2093143476858508</v>
      </c>
      <c r="E34" s="6">
        <f t="shared" ref="E34:I34" si="1">E31/E32</f>
        <v>0.18910596766554305</v>
      </c>
      <c r="F34" s="6">
        <f t="shared" si="1"/>
        <v>0.18764481118653709</v>
      </c>
      <c r="G34" s="6">
        <f t="shared" si="1"/>
        <v>0.20936648916710701</v>
      </c>
      <c r="H34" s="6">
        <f t="shared" si="1"/>
        <v>0.23154390345401576</v>
      </c>
      <c r="I34" s="6">
        <f t="shared" si="1"/>
        <v>0.25016122568826837</v>
      </c>
      <c r="J34" s="6">
        <f t="shared" ref="J34:K34" si="2">J31/J32</f>
        <v>0.2801686307084561</v>
      </c>
      <c r="K34" s="6">
        <f t="shared" si="2"/>
        <v>0.27772391262143992</v>
      </c>
      <c r="L34" s="6">
        <f t="shared" ref="L34:M34" si="3">L31/L32</f>
        <v>0.2568608347760219</v>
      </c>
      <c r="M34" s="6">
        <f t="shared" si="3"/>
        <v>0.26409200127000537</v>
      </c>
      <c r="N34" s="6">
        <f>N31/N32</f>
        <v>0.24502978921793667</v>
      </c>
      <c r="O34" s="6">
        <f t="shared" ref="O34:Q34" si="4">O31/O32</f>
        <v>0.25298510346426584</v>
      </c>
      <c r="P34" s="6">
        <f t="shared" si="4"/>
        <v>0.23932235529217585</v>
      </c>
      <c r="Q34" s="6">
        <f t="shared" si="4"/>
        <v>0.22273516059327003</v>
      </c>
    </row>
    <row r="36" spans="1:17" hidden="1" x14ac:dyDescent="0.3"/>
    <row r="37" spans="1:17" hidden="1" x14ac:dyDescent="0.3">
      <c r="A37" s="62" t="s">
        <v>163</v>
      </c>
    </row>
    <row r="38" spans="1:17" hidden="1" x14ac:dyDescent="0.3">
      <c r="A38" s="63" t="s">
        <v>164</v>
      </c>
    </row>
    <row r="39" spans="1:17" hidden="1" x14ac:dyDescent="0.3"/>
  </sheetData>
  <hyperlinks>
    <hyperlink ref="A37" r:id="rId1" display="http://www.nrel.gov/wind/systemsintegration/ewits.html" xr:uid="{00000000-0004-0000-0200-000000000000}"/>
  </hyperlinks>
  <pageMargins left="0.7" right="0.7" top="0.75" bottom="0.75" header="0.3" footer="0.3"/>
  <pageSetup scale="91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37"/>
  <sheetViews>
    <sheetView workbookViewId="0">
      <pane xSplit="3" ySplit="4" topLeftCell="H5" activePane="bottomRight" state="frozen"/>
      <selection pane="topRight" activeCell="D1" sqref="D1"/>
      <selection pane="bottomLeft" activeCell="A5" sqref="A5"/>
      <selection pane="bottomRight" activeCell="R5" sqref="R5"/>
    </sheetView>
  </sheetViews>
  <sheetFormatPr defaultRowHeight="14.4" x14ac:dyDescent="0.3"/>
  <cols>
    <col min="1" max="1" width="30.6640625" bestFit="1" customWidth="1"/>
    <col min="2" max="2" width="13.77734375" bestFit="1" customWidth="1"/>
    <col min="3" max="3" width="8.88671875" bestFit="1" customWidth="1"/>
    <col min="4" max="5" width="6.109375" customWidth="1"/>
    <col min="6" max="6" width="6.5546875" customWidth="1"/>
    <col min="7" max="9" width="6.5546875" bestFit="1" customWidth="1"/>
    <col min="10" max="11" width="6.44140625" bestFit="1" customWidth="1"/>
    <col min="12" max="14" width="6.5546875" customWidth="1"/>
    <col min="15" max="15" width="6.5546875" bestFit="1" customWidth="1"/>
    <col min="16" max="16" width="6.5546875" customWidth="1"/>
    <col min="17" max="17" width="7.33203125" bestFit="1" customWidth="1"/>
    <col min="22" max="22" width="6.21875" bestFit="1" customWidth="1"/>
    <col min="23" max="23" width="8.5546875" bestFit="1" customWidth="1"/>
    <col min="24" max="24" width="6.21875" bestFit="1" customWidth="1"/>
    <col min="25" max="25" width="9.109375" bestFit="1" customWidth="1"/>
  </cols>
  <sheetData>
    <row r="1" spans="1:25" x14ac:dyDescent="0.3">
      <c r="A1" s="37" t="s">
        <v>187</v>
      </c>
      <c r="B1" s="37"/>
      <c r="C1" s="37"/>
      <c r="U1" t="s">
        <v>162</v>
      </c>
    </row>
    <row r="2" spans="1:25" x14ac:dyDescent="0.3">
      <c r="A2" s="37"/>
      <c r="B2" s="37"/>
      <c r="C2" s="37"/>
      <c r="V2" s="94" t="s">
        <v>225</v>
      </c>
      <c r="W2" s="94"/>
      <c r="X2" s="94"/>
    </row>
    <row r="3" spans="1:25" x14ac:dyDescent="0.3">
      <c r="C3" s="10" t="s">
        <v>64</v>
      </c>
      <c r="D3" s="95" t="s">
        <v>185</v>
      </c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V3" t="s">
        <v>216</v>
      </c>
      <c r="W3" t="s">
        <v>218</v>
      </c>
      <c r="X3" t="s">
        <v>223</v>
      </c>
      <c r="Y3" t="s">
        <v>223</v>
      </c>
    </row>
    <row r="4" spans="1:25" x14ac:dyDescent="0.3">
      <c r="A4" s="71" t="s">
        <v>39</v>
      </c>
      <c r="B4" s="85" t="s">
        <v>235</v>
      </c>
      <c r="C4" s="11" t="s">
        <v>157</v>
      </c>
      <c r="D4" s="72">
        <v>2006</v>
      </c>
      <c r="E4" s="72">
        <v>2007</v>
      </c>
      <c r="F4" s="72">
        <v>2008</v>
      </c>
      <c r="G4" s="72">
        <v>2009</v>
      </c>
      <c r="H4" s="72">
        <v>2010</v>
      </c>
      <c r="I4" s="72">
        <v>2011</v>
      </c>
      <c r="J4" s="72">
        <v>2012</v>
      </c>
      <c r="K4" s="72">
        <v>2013</v>
      </c>
      <c r="L4" s="72">
        <v>2014</v>
      </c>
      <c r="M4" s="72">
        <v>2015</v>
      </c>
      <c r="N4" s="72">
        <v>2016</v>
      </c>
      <c r="O4" s="72">
        <v>2017</v>
      </c>
      <c r="P4" s="77">
        <v>2018</v>
      </c>
      <c r="Q4" s="77">
        <v>2019</v>
      </c>
      <c r="R4" s="79">
        <v>2020</v>
      </c>
      <c r="V4" t="s">
        <v>217</v>
      </c>
      <c r="W4" t="s">
        <v>219</v>
      </c>
      <c r="X4" t="s">
        <v>217</v>
      </c>
      <c r="Y4" t="s">
        <v>224</v>
      </c>
    </row>
    <row r="5" spans="1:25" x14ac:dyDescent="0.3">
      <c r="A5" s="13" t="s">
        <v>194</v>
      </c>
      <c r="B5" s="86">
        <v>39714</v>
      </c>
      <c r="C5" s="20">
        <v>97.5</v>
      </c>
      <c r="D5" s="30" t="str">
        <f>IF('2006'!$J5&gt;0,'2006'!$J5,"")</f>
        <v/>
      </c>
      <c r="E5" s="30" t="str">
        <f>IF('2007'!$J5&gt;0,'2007'!$J5,"")</f>
        <v/>
      </c>
      <c r="F5" s="30">
        <f>IF('2008'!$J5&gt;0,'2008'!$J5,"")</f>
        <v>9.6912048524951735E-3</v>
      </c>
      <c r="G5" s="6">
        <f>IF('2009'!$J5&gt;0,'2009'!$J5,"")</f>
        <v>0.17429193899782136</v>
      </c>
      <c r="H5" s="6">
        <f>IF('2010'!$J5&gt;0,'2010'!$J5,"")</f>
        <v>0.220231822971549</v>
      </c>
      <c r="I5" s="6">
        <f>IF('2011'!$J5&gt;0,'2011'!$J5,"")</f>
        <v>0.20922608593841471</v>
      </c>
      <c r="J5" s="6">
        <f>IF('2012'!$J5&gt;0,'2012'!$J5,"")</f>
        <v>0.2019669827889006</v>
      </c>
      <c r="K5" s="6">
        <f>IF('2013'!$J5&gt;0,'2013'!$J5,"")</f>
        <v>0.189790422667135</v>
      </c>
      <c r="L5" s="6">
        <f>IF('2014'!$J5&gt;0,'2014'!$J5,"")</f>
        <v>0.21824142372087577</v>
      </c>
      <c r="M5" s="6">
        <f>IF('2015'!$J5&gt;0,'2015'!$J5,"")</f>
        <v>0.19915700737618547</v>
      </c>
      <c r="N5" s="6">
        <f>IF('2016'!$J5&gt;0,'2016'!$J5,"")</f>
        <v>0.19915700737618547</v>
      </c>
      <c r="O5" s="6">
        <f>IF('2017'!$J5&gt;0,'2017'!$J5,"")</f>
        <v>0.20559653436365766</v>
      </c>
      <c r="P5" s="6">
        <f>IF('2018'!$J5&gt;0,'2018'!$J5,"")</f>
        <v>0.1974007727432385</v>
      </c>
      <c r="Q5" s="6">
        <f>IF('2019'!$J5&gt;0,'2019'!$J5,"")</f>
        <v>0.20079615970026929</v>
      </c>
      <c r="R5" s="6">
        <f>IF('2020'!$J5&gt;0,'2020'!$J5,"")</f>
        <v>0.21613394216133947</v>
      </c>
    </row>
    <row r="6" spans="1:25" x14ac:dyDescent="0.3">
      <c r="A6" s="13" t="s">
        <v>195</v>
      </c>
      <c r="B6" s="86">
        <v>43344</v>
      </c>
      <c r="C6" s="20">
        <v>78.400000000000006</v>
      </c>
      <c r="D6" s="30"/>
      <c r="E6" s="30"/>
      <c r="F6" s="30"/>
      <c r="G6" s="6"/>
      <c r="H6" s="6"/>
      <c r="I6" s="6"/>
      <c r="J6" s="6"/>
      <c r="K6" s="6"/>
      <c r="L6" s="6"/>
      <c r="M6" s="6"/>
      <c r="N6" s="6"/>
      <c r="O6" s="6"/>
      <c r="P6" s="6"/>
      <c r="Q6" s="6">
        <f>IF('2019'!$J6&gt;0,'2019'!$J6,"")</f>
        <v>0.37391668996365668</v>
      </c>
      <c r="R6" s="6">
        <f>IF('2020'!$J6&gt;0,'2020'!$J6,"")</f>
        <v>0.37246062808685115</v>
      </c>
      <c r="U6" s="76" t="s">
        <v>220</v>
      </c>
      <c r="V6">
        <v>75</v>
      </c>
      <c r="W6">
        <v>110</v>
      </c>
      <c r="X6">
        <f>V6+W6/2</f>
        <v>130</v>
      </c>
      <c r="Y6" s="31">
        <f>X6*3.28084</f>
        <v>426.50920000000002</v>
      </c>
    </row>
    <row r="7" spans="1:25" x14ac:dyDescent="0.3">
      <c r="A7" s="13" t="s">
        <v>196</v>
      </c>
      <c r="B7" s="86">
        <v>39527</v>
      </c>
      <c r="C7" s="20">
        <v>100.5</v>
      </c>
      <c r="D7" s="30" t="str">
        <f>IF('2006'!$J6&gt;0,'2006'!$J6,"")</f>
        <v/>
      </c>
      <c r="E7" s="30" t="str">
        <f>IF('2007'!$J6&gt;0,'2007'!$J6,"")</f>
        <v/>
      </c>
      <c r="F7" s="30">
        <f>IF('2008'!$J6&gt;0,'2008'!$J6,"")</f>
        <v>0.1681421324748805</v>
      </c>
      <c r="G7" s="6">
        <f>IF('2009'!$J6&gt;0,'2009'!$J6,"")</f>
        <v>0.22013221563415797</v>
      </c>
      <c r="H7" s="6">
        <f>IF('2010'!$J6&gt;0,'2010'!$J6,"")</f>
        <v>0.21308980213089801</v>
      </c>
      <c r="I7" s="6">
        <f>IF('2011'!$J6&gt;0,'2011'!$J6,"")</f>
        <v>0.21672459619709672</v>
      </c>
      <c r="J7" s="6">
        <f>IF('2012'!$J6&gt;0,'2012'!$J6,"")</f>
        <v>0.23285399486585337</v>
      </c>
      <c r="K7" s="6">
        <f>IF('2013'!$J6&gt;0,'2013'!$J6,"")</f>
        <v>0.23239964560757856</v>
      </c>
      <c r="L7" s="6">
        <f>IF('2014'!$J6&gt;0,'2014'!$J6,"")</f>
        <v>0.23467139189895272</v>
      </c>
      <c r="M7" s="6">
        <f>IF('2015'!$J6&gt;0,'2015'!$J6,"")</f>
        <v>0.23319475680955951</v>
      </c>
      <c r="N7" s="6">
        <f>IF('2016'!$J6&gt;0,'2016'!$J6,"")</f>
        <v>0.23217247097844113</v>
      </c>
      <c r="O7" s="6">
        <f>IF('2017'!$J6&gt;0,'2017'!$J6,"")</f>
        <v>0.23898770985256368</v>
      </c>
      <c r="P7" s="6">
        <f>IF('2018'!$J7&gt;0,'2018'!$J7,"")</f>
        <v>0.21899634248847089</v>
      </c>
      <c r="Q7" s="6">
        <f>IF('2019'!$J7&gt;0,'2019'!$J7,"")</f>
        <v>0.19343919671051138</v>
      </c>
      <c r="R7" s="6">
        <f>IF('2020'!$J7&gt;0,'2020'!$J7,"")</f>
        <v>0.2229718984983757</v>
      </c>
    </row>
    <row r="8" spans="1:25" x14ac:dyDescent="0.3">
      <c r="A8" s="13" t="s">
        <v>197</v>
      </c>
      <c r="B8" s="86">
        <v>39787</v>
      </c>
      <c r="C8" s="20">
        <v>125</v>
      </c>
      <c r="D8" s="30" t="str">
        <f>IF('2006'!$J7&gt;0,'2006'!$J7,"")</f>
        <v/>
      </c>
      <c r="E8" s="30" t="str">
        <f>IF('2007'!$J7&gt;0,'2007'!$J7,"")</f>
        <v/>
      </c>
      <c r="F8" s="30">
        <f>IF('2008'!$J7&gt;0,'2008'!$J7,"")</f>
        <v>5.5491803278688523E-2</v>
      </c>
      <c r="G8" s="6">
        <f>IF('2009'!$J7&gt;0,'2009'!$J7,"")</f>
        <v>0.19850299401197605</v>
      </c>
      <c r="H8" s="6">
        <f>IF('2010'!$J7&gt;0,'2010'!$J7,"")</f>
        <v>0.23607305936073059</v>
      </c>
      <c r="I8" s="6">
        <f>IF('2011'!$J7&gt;0,'2011'!$J7,"")</f>
        <v>0.22136986301369863</v>
      </c>
      <c r="J8" s="6">
        <f>IF('2012'!$J7&gt;0,'2012'!$J7,"")</f>
        <v>0.22557077625570776</v>
      </c>
      <c r="K8" s="6">
        <f>IF('2013'!$J7&gt;0,'2013'!$J7,"")</f>
        <v>0.22</v>
      </c>
      <c r="L8" s="6">
        <f>IF('2014'!$J7&gt;0,'2014'!$J7,"")</f>
        <v>0.23698630136986301</v>
      </c>
      <c r="M8" s="6">
        <f>IF('2015'!$J7&gt;0,'2015'!$J7,"")</f>
        <v>0.23835616438356164</v>
      </c>
      <c r="N8" s="6">
        <f>IF('2016'!$J7&gt;0,'2016'!$J7,"")</f>
        <v>0.23625570776255708</v>
      </c>
      <c r="O8" s="6">
        <f>IF('2017'!$J7&gt;0,'2017'!$J7,"")</f>
        <v>0.24164383561643835</v>
      </c>
      <c r="P8" s="6">
        <f>IF('2018'!$J8&gt;0,'2018'!$J8,"")</f>
        <v>0.22420091324200914</v>
      </c>
      <c r="Q8" s="6">
        <f>IF('2019'!$J8&gt;0,'2019'!$J8,"")</f>
        <v>0.19031963470319635</v>
      </c>
      <c r="R8" s="6">
        <f>IF('2020'!$J8&gt;0,'2020'!$J8,"")</f>
        <v>6.0273972602739728E-2</v>
      </c>
    </row>
    <row r="9" spans="1:25" x14ac:dyDescent="0.3">
      <c r="A9" s="13" t="s">
        <v>198</v>
      </c>
      <c r="B9" s="86">
        <v>39728</v>
      </c>
      <c r="C9" s="20">
        <v>106.5</v>
      </c>
      <c r="D9" s="30" t="str">
        <f>IF('2006'!$J8&gt;0,'2006'!$J8,"")</f>
        <v/>
      </c>
      <c r="E9" s="30" t="str">
        <f>IF('2007'!$J8&gt;0,'2007'!$J8,"")</f>
        <v/>
      </c>
      <c r="F9" s="30">
        <f>IF('2008'!$J8&gt;0,'2008'!$J8,"")</f>
        <v>0.10322866158700839</v>
      </c>
      <c r="G9" s="6">
        <f>IF('2009'!$J8&gt;0,'2009'!$J8,"")</f>
        <v>0.1841112031667127</v>
      </c>
      <c r="H9" s="6">
        <f>IF('2010'!$J8&gt;0,'2010'!$J8,"")</f>
        <v>0.20601539220099899</v>
      </c>
      <c r="I9" s="6">
        <f>IF('2011'!$J8&gt;0,'2011'!$J8,"")</f>
        <v>0.21630544300812485</v>
      </c>
      <c r="J9" s="6">
        <f>IF('2012'!$J8&gt;0,'2012'!$J8,"")</f>
        <v>0.2055866400840354</v>
      </c>
      <c r="K9" s="6">
        <f>IF('2013'!$J8&gt;0,'2013'!$J8,"")</f>
        <v>0.20204943511908591</v>
      </c>
      <c r="L9" s="6">
        <f>IF('2014'!$J8&gt;0,'2014'!$J8,"")</f>
        <v>0.21491199862799323</v>
      </c>
      <c r="M9" s="6">
        <f>IF('2015'!$J8&gt;0,'2015'!$J8,"")</f>
        <v>0.22659549381525071</v>
      </c>
      <c r="N9" s="6">
        <f>IF('2016'!$J8&gt;0,'2016'!$J8,"")</f>
        <v>0.22466610928891462</v>
      </c>
      <c r="O9" s="6">
        <f>IF('2017'!$J8&gt;0,'2017'!$J8,"")</f>
        <v>0.22348704096726477</v>
      </c>
      <c r="P9" s="6">
        <f>IF('2018'!$J9&gt;0,'2018'!$J9,"")</f>
        <v>0.20462194782086737</v>
      </c>
      <c r="Q9" s="6">
        <f>IF('2019'!$J9&gt;0,'2019'!$J9,"")</f>
        <v>0.21126760563380281</v>
      </c>
      <c r="R9" s="6">
        <f>IF('2020'!$J9&gt;0,'2020'!$J9,"")</f>
        <v>0.22187922052865136</v>
      </c>
      <c r="U9" s="76" t="s">
        <v>228</v>
      </c>
      <c r="V9">
        <v>80</v>
      </c>
      <c r="W9">
        <v>77</v>
      </c>
      <c r="X9">
        <f>V9+W9/2</f>
        <v>118.5</v>
      </c>
      <c r="Y9" s="31">
        <f>X9*3.28084</f>
        <v>388.77954</v>
      </c>
    </row>
    <row r="10" spans="1:25" x14ac:dyDescent="0.3">
      <c r="A10" s="13" t="s">
        <v>199</v>
      </c>
      <c r="B10" s="86">
        <v>39547</v>
      </c>
      <c r="C10" s="20">
        <v>100.5</v>
      </c>
      <c r="D10" s="30" t="str">
        <f>IF('2006'!$J9&gt;0,'2006'!$J9,"")</f>
        <v/>
      </c>
      <c r="E10" s="30" t="str">
        <f>IF('2007'!$J9&gt;0,'2007'!$J9,"")</f>
        <v/>
      </c>
      <c r="F10" s="30">
        <f>IF('2008'!$J9&gt;0,'2008'!$J9,"")</f>
        <v>0.11414141414141414</v>
      </c>
      <c r="G10" s="6">
        <f>IF('2009'!$J9&gt;0,'2009'!$J9,"")</f>
        <v>0.20218541993230196</v>
      </c>
      <c r="H10" s="6">
        <f>IF('2010'!$J9&gt;0,'2010'!$J9,"")</f>
        <v>0.19741475272041617</v>
      </c>
      <c r="I10" s="6">
        <f>IF('2011'!$J9&gt;0,'2011'!$J9,"")</f>
        <v>0.19809627660782844</v>
      </c>
      <c r="J10" s="6">
        <f>IF('2012'!$J9&gt;0,'2012'!$J9,"")</f>
        <v>0.19025875190258751</v>
      </c>
      <c r="K10" s="6">
        <f>IF('2013'!$J9&gt;0,'2013'!$J9,"")</f>
        <v>0.20025443558463391</v>
      </c>
      <c r="L10" s="6">
        <f>IF('2014'!$J9&gt;0,'2014'!$J9,"")</f>
        <v>0.21149957972693609</v>
      </c>
      <c r="M10" s="6">
        <f>IF('2015'!$J9&gt;0,'2015'!$J9,"")</f>
        <v>0.19866421318067198</v>
      </c>
      <c r="N10" s="6">
        <f>IF('2016'!$J9&gt;0,'2016'!$J9,"")</f>
        <v>0.19889138780980939</v>
      </c>
      <c r="O10" s="6">
        <f>IF('2017'!$J9&gt;0,'2017'!$J9,"")</f>
        <v>0.19412072059792362</v>
      </c>
      <c r="P10" s="6">
        <f>IF('2018'!$J10&gt;0,'2018'!$J10,"")</f>
        <v>0.16685976510143347</v>
      </c>
      <c r="Q10" s="6">
        <f>IF('2019'!$J10&gt;0,'2019'!$J10,"")</f>
        <v>0.19343919671051138</v>
      </c>
      <c r="R10" s="6">
        <f>IF('2020'!$J10&gt;0,'2020'!$J10,"")</f>
        <v>0.19980008632635907</v>
      </c>
    </row>
    <row r="11" spans="1:25" x14ac:dyDescent="0.3">
      <c r="A11" s="13" t="s">
        <v>200</v>
      </c>
      <c r="B11" s="86">
        <v>43435</v>
      </c>
      <c r="C11" s="20">
        <v>79.900000000000006</v>
      </c>
      <c r="D11" s="30"/>
      <c r="E11" s="30"/>
      <c r="F11" s="30"/>
      <c r="G11" s="6"/>
      <c r="H11" s="6"/>
      <c r="I11" s="6"/>
      <c r="J11" s="6"/>
      <c r="K11" s="6"/>
      <c r="L11" s="6"/>
      <c r="M11" s="6"/>
      <c r="N11" s="6"/>
      <c r="O11" s="6"/>
      <c r="P11" s="6"/>
      <c r="Q11" s="6">
        <f>IF('2019'!$J11&gt;0,'2019'!$J11,"")</f>
        <v>0.3523239666020882</v>
      </c>
      <c r="R11" s="6">
        <f>IF('2020'!$J11&gt;0,'2020'!$J11,"")</f>
        <v>0.39232830993079248</v>
      </c>
      <c r="U11" s="78" t="s">
        <v>221</v>
      </c>
      <c r="V11">
        <v>75</v>
      </c>
      <c r="W11">
        <v>110</v>
      </c>
      <c r="X11">
        <f>V11+W11/2</f>
        <v>130</v>
      </c>
      <c r="Y11" s="31">
        <f>X11*3.28084</f>
        <v>426.50920000000002</v>
      </c>
    </row>
    <row r="12" spans="1:25" x14ac:dyDescent="0.3">
      <c r="A12" s="13" t="s">
        <v>201</v>
      </c>
      <c r="B12" s="86">
        <v>39538</v>
      </c>
      <c r="C12" s="20">
        <v>81</v>
      </c>
      <c r="D12" s="30" t="str">
        <f>IF('2006'!$J10&gt;0,'2006'!$J10,"")</f>
        <v/>
      </c>
      <c r="E12" s="30" t="str">
        <f>IF('2007'!$J10&gt;0,'2007'!$J10,"")</f>
        <v/>
      </c>
      <c r="F12" s="30">
        <f>IF('2008'!$J10&gt;0,'2008'!$J10,"")</f>
        <v>0.12868487587078725</v>
      </c>
      <c r="G12" s="6">
        <f>IF('2009'!$J10&gt;0,'2009'!$J10,"")</f>
        <v>0.22788770505665482</v>
      </c>
      <c r="H12" s="6">
        <f>IF('2010'!$J10&gt;0,'2010'!$J10,"")</f>
        <v>0.22196854388635209</v>
      </c>
      <c r="I12" s="6">
        <f>IF('2011'!$J10&gt;0,'2011'!$J10,"")</f>
        <v>0.23662551440329219</v>
      </c>
      <c r="J12" s="6">
        <f>IF('2012'!$J10&gt;0,'2012'!$J10,"")</f>
        <v>0.22239134111280229</v>
      </c>
      <c r="K12" s="6">
        <f>IF('2013'!$J10&gt;0,'2013'!$J10,"")</f>
        <v>0.23169288009470657</v>
      </c>
      <c r="L12" s="6">
        <f>IF('2014'!$J10&gt;0,'2014'!$J10,"")</f>
        <v>0.24888663397034783</v>
      </c>
      <c r="M12" s="6">
        <f>IF('2015'!$J10&gt;0,'2015'!$J10,"")</f>
        <v>0.24451772929702914</v>
      </c>
      <c r="N12" s="6">
        <f>IF('2016'!$J10&gt;0,'2016'!$J10,"")</f>
        <v>0.23789390608264277</v>
      </c>
      <c r="O12" s="6">
        <f>IF('2017'!$J10&gt;0,'2017'!$J10,"")</f>
        <v>0.24409493207057895</v>
      </c>
      <c r="P12" s="6">
        <f>IF('2018'!$J12&gt;0,'2018'!$J12,"")</f>
        <v>0.20294266869609334</v>
      </c>
      <c r="Q12" s="6">
        <f>IF('2019'!$J12&gt;0,'2019'!$J12,"")</f>
        <v>0.22281413833925248</v>
      </c>
      <c r="R12" s="6">
        <f>IF('2020'!$J12&gt;0,'2020'!$J12,"")</f>
        <v>0.23563898754157511</v>
      </c>
    </row>
    <row r="13" spans="1:25" x14ac:dyDescent="0.3">
      <c r="A13" s="13" t="s">
        <v>202</v>
      </c>
      <c r="B13" s="86">
        <v>40940</v>
      </c>
      <c r="C13" s="3">
        <v>15</v>
      </c>
      <c r="D13" s="30" t="str">
        <f>IF('2006'!$J11&gt;0,'2006'!$J11,"")</f>
        <v/>
      </c>
      <c r="E13" s="30" t="str">
        <f>IF('2007'!$J11&gt;0,'2007'!$J11,"")</f>
        <v/>
      </c>
      <c r="F13" s="30" t="str">
        <f>IF('2008'!$J11&gt;0,'2008'!$J11,"")</f>
        <v/>
      </c>
      <c r="G13" s="6" t="str">
        <f>IF('2009'!$J11&gt;0,'2009'!$J11,"")</f>
        <v/>
      </c>
      <c r="H13" s="6" t="str">
        <f>IF('2010'!$J11&gt;0,'2010'!$J11,"")</f>
        <v/>
      </c>
      <c r="I13" s="6" t="str">
        <f>IF('2011'!$J11&gt;0,'2011'!$J11,"")</f>
        <v/>
      </c>
      <c r="J13" s="6">
        <f>IF('2012'!$J11&gt;0,'2012'!$J11,"")</f>
        <v>0.25342465753424659</v>
      </c>
      <c r="K13" s="6">
        <f>IF('2013'!$J11&gt;0,'2013'!$J11,"")</f>
        <v>0.31506849315068491</v>
      </c>
      <c r="L13" s="6">
        <f>IF('2014'!$J11&gt;0,'2014'!$J11,"")</f>
        <v>0.29908675799086759</v>
      </c>
      <c r="M13" s="6">
        <f>IF('2015'!$J11&gt;0,'2015'!$J11,"")</f>
        <v>0.28919330289193301</v>
      </c>
      <c r="N13" s="6">
        <f>IF('2016'!$J11&gt;0,'2016'!$J11,"")</f>
        <v>0.28995433789954339</v>
      </c>
      <c r="O13" s="6">
        <f>IF('2017'!$J11&gt;0,'2017'!$J11,"")</f>
        <v>0.28006088280060881</v>
      </c>
      <c r="P13" s="6">
        <f>IF('2018'!$J13&gt;0,'2018'!$J13,"")</f>
        <v>0.19939117199391171</v>
      </c>
      <c r="Q13" s="6">
        <f>IF('2019'!$J13&gt;0,'2019'!$J13,"")</f>
        <v>0.14079147640791476</v>
      </c>
      <c r="R13" s="6">
        <f>IF('2020'!$J13&gt;0,'2020'!$J13,"")</f>
        <v>7.1537290715372903E-2</v>
      </c>
    </row>
    <row r="14" spans="1:25" x14ac:dyDescent="0.3">
      <c r="A14" s="13" t="s">
        <v>203</v>
      </c>
      <c r="B14" s="87">
        <v>37226</v>
      </c>
      <c r="C14" s="3">
        <v>30</v>
      </c>
      <c r="D14" s="30">
        <f>IF('2006'!$J12&gt;0,'2006'!$J12,"")</f>
        <v>0.29403729071537293</v>
      </c>
      <c r="E14" s="30">
        <f>IF('2007'!$J12&gt;0,'2007'!$J12,"")</f>
        <v>0.36012983091787437</v>
      </c>
      <c r="F14" s="30">
        <f>IF('2008'!$J12&gt;0,'2008'!$J12,"")</f>
        <v>0.26984018264840182</v>
      </c>
      <c r="G14" s="6">
        <f>IF('2009'!$J12&gt;0,'2009'!$J12,"")</f>
        <v>0.26103500761035009</v>
      </c>
      <c r="H14" s="6">
        <f>IF('2010'!$J12&gt;0,'2010'!$J12,"")</f>
        <v>9.9315068493150679E-2</v>
      </c>
      <c r="I14" s="6">
        <f>IF('2011'!$J12&gt;0,'2011'!$J12,"")</f>
        <v>0.25114155251141551</v>
      </c>
      <c r="J14" s="6">
        <f>IF('2012'!$J12&gt;0,'2012'!$J12,"")</f>
        <v>0.22450532724505326</v>
      </c>
      <c r="K14" s="6">
        <f>IF('2013'!$J12&gt;0,'2013'!$J12,"")</f>
        <v>0.25989345509893458</v>
      </c>
      <c r="L14" s="6">
        <f>IF('2014'!$J12&gt;0,'2014'!$J12,"")</f>
        <v>0.25418569254185691</v>
      </c>
      <c r="M14" s="6">
        <f>IF('2015'!$J12&gt;0,'2015'!$J12,"")</f>
        <v>0.25646879756468799</v>
      </c>
      <c r="N14" s="6">
        <f>IF('2016'!$J12&gt;0,'2016'!$J12,"")</f>
        <v>0.23744292237442921</v>
      </c>
      <c r="O14" s="6">
        <f>IF('2017'!$J12&gt;0,'2017'!$J12,"")</f>
        <v>0.16894977168949771</v>
      </c>
      <c r="P14" s="6">
        <f>IF('2018'!$J14&gt;0,'2018'!$J14,"")</f>
        <v>0.2073820395738204</v>
      </c>
      <c r="Q14" s="6">
        <f>IF('2019'!$J14&gt;0,'2019'!$J14,"")</f>
        <v>0.2758751902587519</v>
      </c>
      <c r="R14" s="84">
        <f>IF('2020'!$J14&gt;0,'2020'!$J14,"")</f>
        <v>0.12595129375951294</v>
      </c>
    </row>
    <row r="15" spans="1:25" x14ac:dyDescent="0.3">
      <c r="A15" s="13" t="s">
        <v>204</v>
      </c>
      <c r="B15" s="86">
        <v>40575</v>
      </c>
      <c r="C15" s="3">
        <v>74</v>
      </c>
      <c r="D15" s="30" t="str">
        <f>IF('2006'!$J13&gt;0,'2006'!$J13,"")</f>
        <v/>
      </c>
      <c r="E15" s="30" t="str">
        <f>IF('2007'!$J13&gt;0,'2007'!$J13,"")</f>
        <v/>
      </c>
      <c r="F15" s="30" t="str">
        <f>IF('2008'!$J13&gt;0,'2008'!$J13,"")</f>
        <v/>
      </c>
      <c r="G15" s="6" t="str">
        <f>IF('2009'!$J13&gt;0,'2009'!$J13,"")</f>
        <v/>
      </c>
      <c r="H15" s="6" t="str">
        <f>IF('2010'!$J13&gt;0,'2010'!$J13,"")</f>
        <v/>
      </c>
      <c r="I15" s="6">
        <f>IF('2011'!$J13&gt;0,'2011'!$J13,"")</f>
        <v>0.22784771072442306</v>
      </c>
      <c r="J15" s="6">
        <f>IF('2012'!$J13&gt;0,'2012'!$J13,"")</f>
        <v>0.26548809083055658</v>
      </c>
      <c r="K15" s="6">
        <f>IF('2013'!$J13&gt;0,'2013'!$J13,"")</f>
        <v>0.27937183759101569</v>
      </c>
      <c r="L15" s="6">
        <f>IF('2014'!$J13&gt;0,'2014'!$J13,"")</f>
        <v>0.28430828088362337</v>
      </c>
      <c r="M15" s="6">
        <f>IF('2015'!$J13&gt;0,'2015'!$J13,"")</f>
        <v>0.28307417006047142</v>
      </c>
      <c r="N15" s="6">
        <f>IF('2016'!$J13&gt;0,'2016'!$J13,"")</f>
        <v>0.2807602122670616</v>
      </c>
      <c r="O15" s="6">
        <f>IF('2017'!$J13&gt;0,'2017'!$J13,"")</f>
        <v>0.27397260273972601</v>
      </c>
      <c r="P15" s="6">
        <f>IF('2018'!$J15&gt;0,'2018'!$J15,"")</f>
        <v>0.27273849191657412</v>
      </c>
      <c r="Q15" s="6">
        <f>IF('2019'!$J15&gt;0,'2019'!$J15,"")</f>
        <v>0.28446254473651733</v>
      </c>
      <c r="R15" s="6">
        <f>IF('2020'!$J15&gt;0,'2020'!$J15,"")</f>
        <v>0.10613353079106504</v>
      </c>
    </row>
    <row r="16" spans="1:25" x14ac:dyDescent="0.3">
      <c r="A16" s="13" t="s">
        <v>73</v>
      </c>
      <c r="B16" s="86">
        <v>39845</v>
      </c>
      <c r="C16" s="26">
        <v>118.1</v>
      </c>
      <c r="D16" s="30" t="str">
        <f>IF('2006'!$J14&gt;0,'2006'!$J14,"")</f>
        <v/>
      </c>
      <c r="E16" s="30" t="str">
        <f>IF('2007'!$J14&gt;0,'2007'!$J14,"")</f>
        <v/>
      </c>
      <c r="F16" s="30" t="str">
        <f>IF('2008'!$J14&gt;0,'2008'!$J14,"")</f>
        <v/>
      </c>
      <c r="G16" s="6">
        <f>IF('2009'!$J14&gt;0,'2009'!$J14,"")</f>
        <v>0.22306947470346164</v>
      </c>
      <c r="H16" s="6">
        <f>IF('2010'!$J14&gt;0,'2010'!$J14,"")</f>
        <v>0.24454591577879248</v>
      </c>
      <c r="I16" s="6">
        <f>IF('2011'!$J14&gt;0,'2011'!$J14,"")</f>
        <v>0.26494165398274988</v>
      </c>
      <c r="J16" s="6">
        <f>IF('2012'!$J14&gt;0,'2012'!$J14,"")</f>
        <v>0.25834601725012685</v>
      </c>
      <c r="K16" s="6">
        <f>IF('2013'!$J14&gt;0,'2013'!$J14,"")</f>
        <v>0.27143581938102485</v>
      </c>
      <c r="L16" s="6">
        <f>IF('2014'!$J14&gt;0,'2014'!$J14,"")</f>
        <v>0.27468290208016233</v>
      </c>
      <c r="M16" s="6">
        <f>IF('2015'!$J14&gt;0,'2015'!$J14,"")</f>
        <v>0.26220192795535258</v>
      </c>
      <c r="N16" s="6">
        <f>IF('2016'!$J14&gt;0,'2016'!$J14,"")</f>
        <v>0.27153729071537291</v>
      </c>
      <c r="O16" s="6">
        <f>IF('2017'!$J14&gt;0,'2017'!$J14,"")</f>
        <v>0.2723490613901573</v>
      </c>
      <c r="P16" s="6">
        <f>IF('2018'!$J16&gt;0,'2018'!$J16,"")</f>
        <v>0.25134449518011159</v>
      </c>
      <c r="Q16" s="6">
        <f>IF('2019'!$J16&gt;0,'2019'!$J16,"")</f>
        <v>0.24773912673649373</v>
      </c>
      <c r="R16" s="6">
        <f>IF('2020'!$J16&gt;0,'2020'!$J16,"")</f>
        <v>0.25005896249212217</v>
      </c>
    </row>
    <row r="17" spans="1:27" x14ac:dyDescent="0.3">
      <c r="A17" s="13" t="s">
        <v>205</v>
      </c>
      <c r="B17" s="86">
        <v>40878</v>
      </c>
      <c r="C17" s="3">
        <v>55.4</v>
      </c>
      <c r="D17" s="30" t="str">
        <f>IF('2006'!$J15&gt;0,'2006'!$J15,"")</f>
        <v/>
      </c>
      <c r="E17" s="30" t="str">
        <f>IF('2007'!$J15&gt;0,'2007'!$J15,"")</f>
        <v/>
      </c>
      <c r="F17" s="30" t="str">
        <f>IF('2008'!$J15&gt;0,'2008'!$J15,"")</f>
        <v/>
      </c>
      <c r="G17" s="6" t="str">
        <f>IF('2009'!$J15&gt;0,'2009'!$J15,"")</f>
        <v/>
      </c>
      <c r="H17" s="6" t="str">
        <f>IF('2010'!$J15&gt;0,'2010'!$J15,"")</f>
        <v/>
      </c>
      <c r="I17" s="6" t="str">
        <f>IF('2011'!$J15&gt;0,'2011'!$J15,"")</f>
        <v/>
      </c>
      <c r="J17" s="6">
        <f>IF('2012'!$J15&gt;0,'2012'!$J15,"")</f>
        <v>0.23717092791322553</v>
      </c>
      <c r="K17" s="6">
        <f>IF('2013'!$J15&gt;0,'2013'!$J15,"")</f>
        <v>0.26669371390387092</v>
      </c>
      <c r="L17" s="6">
        <f>IF('2014'!$J15&gt;0,'2014'!$J15,"")</f>
        <v>0.26450606971823143</v>
      </c>
      <c r="M17" s="6">
        <f>IF('2015'!$J15&gt;0,'2015'!$J15,"")</f>
        <v>0.25635212320812051</v>
      </c>
      <c r="N17" s="6">
        <f>IF('2016'!$J15&gt;0,'2016'!$J15,"")</f>
        <v>0.26609708367142382</v>
      </c>
      <c r="O17" s="6">
        <f>IF('2017'!$J15&gt;0,'2017'!$J15,"")</f>
        <v>0.26569933018312569</v>
      </c>
      <c r="P17" s="6">
        <f>IF('2018'!$J17&gt;0,'2018'!$J17,"")</f>
        <v>0.24879480693045677</v>
      </c>
      <c r="Q17" s="6">
        <f>IF('2019'!$J17&gt;0,'2019'!$J17,"")</f>
        <v>0.26601882531361787</v>
      </c>
      <c r="R17" s="6">
        <f>IF('2020'!$J17&gt;0,'2020'!$J17,"")</f>
        <v>0.25963107660353096</v>
      </c>
    </row>
    <row r="18" spans="1:27" x14ac:dyDescent="0.3">
      <c r="A18" s="13" t="s">
        <v>206</v>
      </c>
      <c r="B18" s="86">
        <v>42705</v>
      </c>
      <c r="C18" s="3">
        <v>77.7</v>
      </c>
      <c r="D18" s="30"/>
      <c r="E18" s="30"/>
      <c r="F18" s="30"/>
      <c r="G18" s="6"/>
      <c r="H18" s="6"/>
      <c r="I18" s="6"/>
      <c r="J18" s="6"/>
      <c r="K18" s="6"/>
      <c r="L18" s="6"/>
      <c r="M18" s="6"/>
      <c r="N18" s="6">
        <f>IF('2016'!$J16&gt;0,'2016'!$J16,"")</f>
        <v>0.26974136563177659</v>
      </c>
      <c r="O18" s="6">
        <f>IF('2017'!$J16&gt;0,'2017'!$J16,"")</f>
        <v>0.36185892350275911</v>
      </c>
      <c r="P18" s="6">
        <f>IF('2018'!$J18&gt;0,'2018'!$J18,"")</f>
        <v>0.33218149656505819</v>
      </c>
      <c r="Q18" s="6">
        <f>IF('2019'!$J18&gt;0,'2019'!$J18,"")</f>
        <v>0.3342383479369781</v>
      </c>
      <c r="R18" s="6">
        <f>IF('2020'!$J18&gt;0,'2020'!$J18,"")</f>
        <v>0.33188766065478392</v>
      </c>
      <c r="U18" s="76" t="s">
        <v>226</v>
      </c>
      <c r="V18">
        <v>80</v>
      </c>
      <c r="W18">
        <v>114</v>
      </c>
      <c r="X18">
        <f>V18+W18/2</f>
        <v>137</v>
      </c>
      <c r="Y18" s="31">
        <f>X18*3.28084</f>
        <v>449.47507999999999</v>
      </c>
      <c r="Z18">
        <f>X18-X9</f>
        <v>18.5</v>
      </c>
      <c r="AA18" s="31">
        <f>Z18*3.28084</f>
        <v>60.695540000000001</v>
      </c>
    </row>
    <row r="19" spans="1:27" x14ac:dyDescent="0.3">
      <c r="A19" s="13" t="s">
        <v>207</v>
      </c>
      <c r="B19" s="87">
        <v>36770</v>
      </c>
      <c r="C19" s="3">
        <v>11.6</v>
      </c>
      <c r="D19" s="30">
        <f>IF('2006'!$J16&gt;0,'2006'!$J16,"")</f>
        <v>0.19885647929459926</v>
      </c>
      <c r="E19" s="30">
        <f>IF('2007'!$J16&gt;0,'2007'!$J16,"")</f>
        <v>0.20915997480711698</v>
      </c>
      <c r="F19" s="30">
        <f>IF('2008'!$J16&gt;0,'2008'!$J16,"")</f>
        <v>0.18760825066918596</v>
      </c>
      <c r="G19" s="6">
        <f>IF('2009'!$J16&gt;0,'2009'!$J16,"")</f>
        <v>0.19386710754211936</v>
      </c>
      <c r="H19" s="6">
        <f>IF('2010'!$J16&gt;0,'2010'!$J16,"")</f>
        <v>0.17713745866792632</v>
      </c>
      <c r="I19" s="6">
        <f>IF('2011'!$J16&gt;0,'2011'!$J16,"")</f>
        <v>0.21354904739411115</v>
      </c>
      <c r="J19" s="6">
        <f>IF('2012'!$J16&gt;0,'2012'!$J16,"")</f>
        <v>0.18697842859392222</v>
      </c>
      <c r="K19" s="6">
        <f>IF('2013'!$J16&gt;0,'2013'!$J16,"")</f>
        <v>0.20173988348291608</v>
      </c>
      <c r="L19" s="6">
        <f>IF('2014'!$J16&gt;0,'2014'!$J16,"")</f>
        <v>0.20666036844591404</v>
      </c>
      <c r="M19" s="6">
        <f>IF('2015'!$J16&gt;0,'2015'!$J16,"")</f>
        <v>0.19386710754211936</v>
      </c>
      <c r="N19" s="6">
        <f>IF('2016'!$J17&gt;0,'2016'!$J17,"")</f>
        <v>0.19681939851991812</v>
      </c>
      <c r="O19" s="6">
        <f>IF('2017'!$J17&gt;0,'2017'!$J17,"")</f>
        <v>0.20469217446071486</v>
      </c>
      <c r="P19" s="6">
        <f>IF('2018'!$J19&gt;0,'2018'!$J19,"")</f>
        <v>0.18402613761612344</v>
      </c>
      <c r="Q19" s="6">
        <f>IF('2019'!$J19&gt;0,'2019'!$J19,"")</f>
        <v>0.18501023460872304</v>
      </c>
      <c r="R19" s="84">
        <f>IF('2020'!$J19&gt;0,'2020'!$J19,"")</f>
        <v>0.16828058573452997</v>
      </c>
    </row>
    <row r="20" spans="1:27" x14ac:dyDescent="0.3">
      <c r="A20" s="13" t="s">
        <v>208</v>
      </c>
      <c r="B20" s="87">
        <v>38718</v>
      </c>
      <c r="C20" s="3">
        <v>231</v>
      </c>
      <c r="D20" s="30">
        <f>IF('2006'!$J17&gt;0,'2006'!$J17,"")</f>
        <v>0.20088803890173754</v>
      </c>
      <c r="E20" s="30">
        <f>IF('2007'!$J17&gt;0,'2007'!$J17,"")</f>
        <v>0.25868864066566205</v>
      </c>
      <c r="F20" s="30">
        <f>IF('2008'!$J17&gt;0,'2008'!$J17,"")</f>
        <v>0.26582656308683711</v>
      </c>
      <c r="G20" s="6">
        <f>IF('2009'!$J17&gt;0,'2009'!$J17,"")</f>
        <v>0.26087687046591157</v>
      </c>
      <c r="H20" s="6">
        <f>IF('2010'!$J17&gt;0,'2010'!$J17,"")</f>
        <v>0.2444701417304157</v>
      </c>
      <c r="I20" s="6">
        <f>IF('2011'!$J17&gt;0,'2011'!$J17,"")</f>
        <v>0.26201348119156337</v>
      </c>
      <c r="J20" s="6">
        <f>IF('2012'!$J17&gt;0,'2012'!$J17,"")</f>
        <v>0.25949317045207454</v>
      </c>
      <c r="K20" s="6">
        <f>IF('2013'!$J17&gt;0,'2013'!$J17,"")</f>
        <v>0.26912965269129652</v>
      </c>
      <c r="L20" s="6">
        <f>IF('2014'!$J17&gt;0,'2014'!$J17,"")</f>
        <v>0.2902804957599478</v>
      </c>
      <c r="M20" s="6">
        <f>IF('2015'!$J17&gt;0,'2015'!$J17,"")</f>
        <v>0.28089110280891105</v>
      </c>
      <c r="N20" s="6">
        <f>IF('2016'!$J18&gt;0,'2016'!$J18,"")</f>
        <v>0.27421969202791119</v>
      </c>
      <c r="O20" s="6">
        <f>IF('2017'!$J18&gt;0,'2017'!$J18,"")</f>
        <v>0.28192887781928877</v>
      </c>
      <c r="P20" s="6">
        <f>IF('2018'!$J20&gt;0,'2018'!$J20,"")</f>
        <v>0.26487971693451146</v>
      </c>
      <c r="Q20" s="6">
        <f>IF('2019'!$J20&gt;0,'2019'!$J20,"")</f>
        <v>0.26497855264978554</v>
      </c>
      <c r="R20" s="6">
        <f>IF('2020'!$J20&gt;0,'2020'!$J20,"")</f>
        <v>0.2663128348059855</v>
      </c>
    </row>
    <row r="21" spans="1:27" x14ac:dyDescent="0.3">
      <c r="A21" s="13" t="s">
        <v>209</v>
      </c>
      <c r="B21" s="86">
        <v>39417</v>
      </c>
      <c r="C21" s="3">
        <v>90.7</v>
      </c>
      <c r="D21" s="30" t="str">
        <f>IF('2006'!$J18&gt;0,'2006'!$J18,"")</f>
        <v/>
      </c>
      <c r="E21" s="30" t="str">
        <f>IF('2007'!$J18&gt;0,'2007'!$J18,"")</f>
        <v/>
      </c>
      <c r="F21" s="30">
        <f>IF('2008'!$J18&gt;0,'2008'!$J18,"")</f>
        <v>0.2681403757568443</v>
      </c>
      <c r="G21" s="6">
        <f>IF('2009'!$J18&gt;0,'2009'!$J18,"")</f>
        <v>0.25571782028845574</v>
      </c>
      <c r="H21" s="6">
        <f>IF('2010'!$J18&gt;0,'2010'!$J18,"")</f>
        <v>0.24339709935027054</v>
      </c>
      <c r="I21" s="6">
        <f>IF('2011'!$J18&gt;0,'2011'!$J18,"")</f>
        <v>0.2540834389395128</v>
      </c>
      <c r="J21" s="6">
        <f>IF('2012'!$J18&gt;0,'2012'!$J18,"")</f>
        <v>0.25307766580170177</v>
      </c>
      <c r="K21" s="6">
        <f>IF('2013'!$J18&gt;0,'2013'!$J18,"")</f>
        <v>0.26329965312913767</v>
      </c>
      <c r="L21" s="6">
        <f>IF('2014'!$J18&gt;0,'2014'!$J18,"")</f>
        <v>0.28419245543288374</v>
      </c>
      <c r="M21" s="6">
        <f>IF('2015'!$J18&gt;0,'2015'!$J18,"")</f>
        <v>0.27311675300680149</v>
      </c>
      <c r="N21" s="6">
        <f>IF('2016'!$J19&gt;0,'2016'!$J19,"")</f>
        <v>0.26682374026470929</v>
      </c>
      <c r="O21" s="6">
        <f>IF('2017'!$J19&gt;0,'2017'!$J19,"")</f>
        <v>0.275130517084271</v>
      </c>
      <c r="P21" s="6">
        <f>IF('2018'!$J21&gt;0,'2018'!$J21,"")</f>
        <v>0.25574803783862704</v>
      </c>
      <c r="Q21" s="6">
        <f>IF('2019'!$J21&gt;0,'2019'!$J21,"")</f>
        <v>0.25272739172242276</v>
      </c>
      <c r="R21" s="6">
        <f>IF('2020'!$J21&gt;0,'2020'!$J21,"")</f>
        <v>0.25433488222396555</v>
      </c>
    </row>
    <row r="22" spans="1:27" x14ac:dyDescent="0.3">
      <c r="A22" s="7" t="s">
        <v>210</v>
      </c>
      <c r="B22" s="86">
        <v>41091</v>
      </c>
      <c r="C22" s="3">
        <v>215.2</v>
      </c>
      <c r="D22" s="30" t="str">
        <f>IF('2006'!$J19&gt;0,'2006'!$J19,"")</f>
        <v/>
      </c>
      <c r="E22" s="30" t="str">
        <f>IF('2007'!$J19&gt;0,'2007'!$J19,"")</f>
        <v/>
      </c>
      <c r="F22" s="30" t="str">
        <f>IF('2008'!$J19&gt;0,'2008'!$J19,"")</f>
        <v/>
      </c>
      <c r="G22" s="6" t="str">
        <f>IF('2009'!$J19&gt;0,'2009'!$J19,"")</f>
        <v/>
      </c>
      <c r="H22" s="6" t="str">
        <f>IF('2010'!$J19&gt;0,'2010'!$J19,"")</f>
        <v/>
      </c>
      <c r="I22" s="6" t="str">
        <f>IF('2011'!$J19&gt;0,'2011'!$J19,"")</f>
        <v/>
      </c>
      <c r="J22" s="6">
        <f>IF('2012'!$J19&gt;0,'2012'!$J19,"")</f>
        <v>0.18020613762390753</v>
      </c>
      <c r="K22" s="6">
        <f>IF('2013'!$J19&gt;0,'2013'!$J19,"")</f>
        <v>0.27174776721863775</v>
      </c>
      <c r="L22" s="6">
        <f>IF('2014'!$J19&gt;0,'2014'!$J19,"")</f>
        <v>0.28562650308828358</v>
      </c>
      <c r="M22" s="6">
        <f>IF('2015'!$J19&gt;0,'2015'!$J19,"")</f>
        <v>0.28785133860937184</v>
      </c>
      <c r="N22" s="6">
        <f>IF('2016'!$J20&gt;0,'2016'!$J20,"")</f>
        <v>0.27736282829567005</v>
      </c>
      <c r="O22" s="6">
        <f>IF('2017'!$J20&gt;0,'2017'!$J20,"")</f>
        <v>0.28721567131763237</v>
      </c>
      <c r="P22" s="6">
        <f>IF('2018'!$J22&gt;0,'2018'!$J22,"")</f>
        <v>0.25898144910953608</v>
      </c>
      <c r="Q22" s="6">
        <f>IF('2019'!$J22&gt;0,'2019'!$J22,"")</f>
        <v>0.27573373393763473</v>
      </c>
      <c r="R22" s="6">
        <f>IF('2020'!$J22&gt;0,'2020'!$J22,"")</f>
        <v>0.25886506764441275</v>
      </c>
    </row>
    <row r="23" spans="1:27" x14ac:dyDescent="0.3">
      <c r="A23" s="13" t="s">
        <v>150</v>
      </c>
      <c r="B23" s="86">
        <v>41974</v>
      </c>
      <c r="C23" s="3">
        <v>16.2</v>
      </c>
      <c r="D23" s="30"/>
      <c r="E23" s="30"/>
      <c r="F23" s="30"/>
      <c r="G23" s="6"/>
      <c r="H23" s="6"/>
      <c r="I23" s="6"/>
      <c r="J23" s="6"/>
      <c r="K23" s="6"/>
      <c r="L23" s="6"/>
      <c r="M23" s="6">
        <f>IF('2015'!$J20&gt;0,'2015'!$J20,"")</f>
        <v>0.47606967698291897</v>
      </c>
      <c r="N23" s="6">
        <f>IF('2016'!$J21&gt;0,'2016'!$J21,"")</f>
        <v>0.38756412424601161</v>
      </c>
      <c r="O23" s="6">
        <f>IF('2017'!$J21&gt;0,'2017'!$J21,"")</f>
        <v>0.34387507751282487</v>
      </c>
      <c r="P23" s="6">
        <f>IF('2018'!$J23&gt;0,'2018'!$J23,"")</f>
        <v>0.32696318845481709</v>
      </c>
      <c r="Q23" s="6">
        <f>IF('2019'!$J23&gt;0,'2019'!$J23,"")</f>
        <v>0.35514967021816335</v>
      </c>
      <c r="R23" s="6">
        <f>IF('2020'!$J23&gt;0,'2020'!$J23,"")</f>
        <v>0.13388578837589493</v>
      </c>
    </row>
    <row r="24" spans="1:27" x14ac:dyDescent="0.3">
      <c r="A24" s="13" t="s">
        <v>211</v>
      </c>
      <c r="B24" s="87">
        <v>39314</v>
      </c>
      <c r="C24" s="3">
        <v>34.5</v>
      </c>
      <c r="D24" s="30" t="str">
        <f>IF('2006'!$J21&gt;0,'2006'!$J21,"")</f>
        <v/>
      </c>
      <c r="E24" s="30" t="str">
        <f>IF('2007'!$J21&gt;0,'2007'!$J21,"")</f>
        <v/>
      </c>
      <c r="F24" s="30">
        <f>IF('2008'!$J21&gt;0,'2008'!$J21,"")</f>
        <v>0.29472569651247432</v>
      </c>
      <c r="G24" s="6">
        <f>IF('2009'!$J21&gt;0,'2009'!$J21,"")</f>
        <v>0.29415657468069617</v>
      </c>
      <c r="H24" s="6">
        <f>IF('2010'!$J21&gt;0,'2010'!$J21,"")</f>
        <v>0.28025941367215934</v>
      </c>
      <c r="I24" s="6">
        <f>IF('2011'!$J21&gt;0,'2011'!$J21,"")</f>
        <v>0.2895241876778506</v>
      </c>
      <c r="J24" s="6">
        <f>IF('2012'!$J21&gt;0,'2012'!$J21,"")</f>
        <v>0.2868771093905102</v>
      </c>
      <c r="K24" s="6">
        <f>IF('2013'!$J21&gt;0,'2013'!$J21,"")</f>
        <v>0.29614188339620146</v>
      </c>
      <c r="L24" s="6">
        <f>IF('2014'!$J21&gt;0,'2014'!$J21,"")</f>
        <v>0.31764939448084178</v>
      </c>
      <c r="M24" s="6">
        <f>IF('2015'!$J21&gt;0,'2015'!$J21,"")</f>
        <v>0.3020978095427172</v>
      </c>
      <c r="N24" s="6">
        <f>IF('2016'!$J22&gt;0,'2016'!$J22,"")</f>
        <v>0.31070081397657334</v>
      </c>
      <c r="O24" s="6">
        <f>IF('2017'!$J22&gt;0,'2017'!$J22,"")</f>
        <v>0.3199655879822646</v>
      </c>
      <c r="P24" s="6">
        <f>IF('2018'!$J24&gt;0,'2018'!$J24,"")</f>
        <v>0.19257494540401032</v>
      </c>
      <c r="Q24" s="6">
        <f>IF('2019'!$J24&gt;0,'2019'!$J24,"")</f>
        <v>0.1118390576401297</v>
      </c>
      <c r="R24" s="6">
        <f>IF('2020'!$J24&gt;0,'2020'!$J24,"")</f>
        <v>0.29514922903844881</v>
      </c>
      <c r="U24" s="76" t="s">
        <v>222</v>
      </c>
      <c r="V24">
        <v>60</v>
      </c>
      <c r="W24">
        <v>66</v>
      </c>
      <c r="X24">
        <f>V24+W24/2</f>
        <v>93</v>
      </c>
      <c r="Y24" s="31">
        <f>X24*3.28084</f>
        <v>305.11811999999998</v>
      </c>
    </row>
    <row r="25" spans="1:27" x14ac:dyDescent="0.3">
      <c r="A25" s="13" t="s">
        <v>212</v>
      </c>
      <c r="B25" s="86">
        <v>41609</v>
      </c>
      <c r="C25" s="3">
        <v>93.9</v>
      </c>
      <c r="D25" s="30"/>
      <c r="E25" s="30"/>
      <c r="F25" s="30"/>
      <c r="G25" s="6"/>
      <c r="H25" s="6"/>
      <c r="I25" s="6"/>
      <c r="J25" s="6"/>
      <c r="K25" s="6">
        <f>IF('2013'!$J22&gt;0,'2013'!$J22,"")</f>
        <v>0.11880632564957</v>
      </c>
      <c r="L25" s="6">
        <f>IF('2014'!$J22&gt;0,'2014'!$J22,"")</f>
        <v>0.33322635077635299</v>
      </c>
      <c r="M25" s="6">
        <f>IF('2015'!$J22&gt;0,'2015'!$J22,"")</f>
        <v>0.34878744997349748</v>
      </c>
      <c r="N25" s="6">
        <f>IF('2016'!$J23&gt;0,'2016'!$J23,"")</f>
        <v>0.322163381815883</v>
      </c>
      <c r="O25" s="6">
        <f>IF('2017'!$J23&gt;0,'2017'!$J23,"")</f>
        <v>0.34027747385005908</v>
      </c>
      <c r="P25" s="6">
        <f>IF('2018'!$J25&gt;0,'2018'!$J25,"")</f>
        <v>0.35206986933539519</v>
      </c>
      <c r="Q25" s="6">
        <f>IF('2019'!$J25&gt;0,'2019'!$J25,"")</f>
        <v>0.33504991708851833</v>
      </c>
      <c r="R25" s="6">
        <f>IF('2020'!$J25&gt;0,'2020'!$J25,"")</f>
        <v>0.34234418233717984</v>
      </c>
      <c r="U25" s="76" t="s">
        <v>227</v>
      </c>
      <c r="V25">
        <v>80</v>
      </c>
      <c r="W25">
        <v>100</v>
      </c>
      <c r="X25">
        <f>V25+W25/2</f>
        <v>130</v>
      </c>
      <c r="Y25" s="31">
        <f>X25*3.28084</f>
        <v>426.50920000000002</v>
      </c>
    </row>
    <row r="26" spans="1:27" x14ac:dyDescent="0.3">
      <c r="A26" s="13" t="s">
        <v>213</v>
      </c>
      <c r="B26" s="87">
        <v>39105</v>
      </c>
      <c r="C26" s="3">
        <v>20</v>
      </c>
      <c r="D26" s="30" t="str">
        <f>IF('2006'!$J22&gt;0,'2006'!$J22,"")</f>
        <v/>
      </c>
      <c r="E26" s="30">
        <f>IF('2007'!$J22&gt;0,'2007'!$J22,"")</f>
        <v>5.878995433789954E-2</v>
      </c>
      <c r="F26" s="30">
        <f>IF('2008'!$J22&gt;0,'2008'!$J22,"")</f>
        <v>0.21343607305936074</v>
      </c>
      <c r="G26" s="6">
        <f>IF('2009'!$J22&gt;0,'2009'!$J22,"")</f>
        <v>0.24143835616438356</v>
      </c>
      <c r="H26" s="6">
        <f>IF('2010'!$J22&gt;0,'2010'!$J22,"")</f>
        <v>0.27568493150684931</v>
      </c>
      <c r="I26" s="6">
        <f>IF('2011'!$J22&gt;0,'2011'!$J22,"")</f>
        <v>0.21917808219178081</v>
      </c>
      <c r="J26" s="6">
        <f>IF('2012'!$J22&gt;0,'2012'!$J22,"")</f>
        <v>0.27682648401826482</v>
      </c>
      <c r="K26" s="6">
        <f>IF('2013'!$J22&gt;0,'2013'!$J22,"")</f>
        <v>0.11880632564957</v>
      </c>
      <c r="L26" s="6">
        <f>IF('2014'!$J22&gt;0,'2014'!$J22,"")</f>
        <v>0.33322635077635299</v>
      </c>
      <c r="M26" s="6">
        <f>IF('2015'!$J22&gt;0,'2015'!$J22,"")</f>
        <v>0.34878744997349748</v>
      </c>
      <c r="N26" s="6">
        <f>IF('2016'!$J24&gt;0,'2016'!$J24,"")</f>
        <v>0.31792237442922372</v>
      </c>
      <c r="O26" s="6">
        <f>IF('2017'!$J24&gt;0,'2017'!$J24,"")</f>
        <v>0.295662100456621</v>
      </c>
      <c r="P26" s="6">
        <f>IF('2018'!$J26&gt;0,'2018'!$J26,"")</f>
        <v>0.26769406392694062</v>
      </c>
      <c r="Q26" s="6">
        <f>IF('2019'!$J26&gt;0,'2019'!$J26,"")</f>
        <v>0.15468036529680365</v>
      </c>
      <c r="R26" s="6">
        <f>IF('2020'!$J26&gt;0,'2020'!$J26,"")</f>
        <v>6.1643835616438353E-2</v>
      </c>
    </row>
    <row r="27" spans="1:27" x14ac:dyDescent="0.3">
      <c r="A27" s="13" t="s">
        <v>214</v>
      </c>
      <c r="B27" s="87">
        <v>36800</v>
      </c>
      <c r="C27" s="3">
        <v>6.6</v>
      </c>
      <c r="D27" s="30">
        <f>IF('2006'!$J23&gt;0,'2006'!$J23,"")</f>
        <v>0.24972325999723261</v>
      </c>
      <c r="E27" s="30">
        <f>IF('2007'!$J23&gt;0,'2007'!$J23,"")</f>
        <v>0.26873183893731839</v>
      </c>
      <c r="F27" s="30">
        <f>IF('2008'!$J23&gt;0,'2008'!$J23,"")</f>
        <v>0.19665836446658364</v>
      </c>
      <c r="G27" s="6">
        <f>IF('2009'!$J23&gt;0,'2009'!$J23,"")</f>
        <v>0.23695862736958628</v>
      </c>
      <c r="H27" s="6">
        <f>IF('2010'!$J23&gt;0,'2010'!$J23,"")</f>
        <v>0.23004012730040127</v>
      </c>
      <c r="I27" s="6">
        <f>IF('2011'!$J23&gt;0,'2011'!$J23,"")</f>
        <v>0.23176975231769753</v>
      </c>
      <c r="J27" s="6">
        <f>IF('2012'!$J23&gt;0,'2012'!$J23,"")</f>
        <v>0.20755500207555003</v>
      </c>
      <c r="K27" s="6">
        <f>IF('2013'!$J23&gt;0,'2013'!$J23,"")</f>
        <v>0.30536529680365299</v>
      </c>
      <c r="L27" s="6">
        <f>IF('2014'!$J23&gt;0,'2014'!$J23,"")</f>
        <v>0.26598173515981738</v>
      </c>
      <c r="M27" s="6">
        <f>IF('2015'!$J23&gt;0,'2015'!$J23,"")</f>
        <v>0.28881278538812788</v>
      </c>
      <c r="N27" s="6">
        <f>IF('2016'!$J25&gt;0,'2016'!$J25,"")</f>
        <v>0.21620312716203127</v>
      </c>
      <c r="O27" s="6">
        <f>IF('2017'!$J25&gt;0,'2017'!$J25,"")</f>
        <v>0.12280337622803376</v>
      </c>
      <c r="P27" s="6">
        <f>IF('2018'!$J27&gt;0,'2018'!$J27,"")</f>
        <v>7.956275079562751E-2</v>
      </c>
      <c r="Q27" s="6">
        <f>IF('2019'!$J27&gt;0,'2019'!$J27,"")</f>
        <v>5.1888750518887507E-2</v>
      </c>
      <c r="R27" s="84">
        <f>IF('2020'!$J27&gt;0,'2020'!$J27,"")</f>
        <v>1.7296250172962501E-2</v>
      </c>
    </row>
    <row r="28" spans="1:27" x14ac:dyDescent="0.3">
      <c r="A28" s="13" t="s">
        <v>215</v>
      </c>
      <c r="B28" s="86">
        <v>39793</v>
      </c>
      <c r="C28" s="3">
        <v>126</v>
      </c>
      <c r="D28" s="30" t="str">
        <f>IF('2006'!$J24&gt;0,'2006'!$J24,"")</f>
        <v/>
      </c>
      <c r="E28" s="30" t="str">
        <f>IF('2007'!$J24&gt;0,'2007'!$J24,"")</f>
        <v/>
      </c>
      <c r="F28" s="30" t="str">
        <f>IF('2008'!$J24&gt;0,'2008'!$J24,"")</f>
        <v/>
      </c>
      <c r="G28" s="6">
        <f>IF('2009'!$J24&gt;0,'2009'!$J24,"")</f>
        <v>0.20035792094615623</v>
      </c>
      <c r="H28" s="6">
        <f>IF('2010'!$J24&gt;0,'2010'!$J24,"")</f>
        <v>0.23139088207581357</v>
      </c>
      <c r="I28" s="6">
        <f>IF('2011'!$J24&gt;0,'2011'!$J24,"")</f>
        <v>0.23238747553816047</v>
      </c>
      <c r="J28" s="6">
        <f>IF('2012'!$J24&gt;0,'2012'!$J24,"")</f>
        <v>0.22586431833007176</v>
      </c>
      <c r="K28" s="6">
        <f>IF('2013'!$J24&gt;0,'2013'!$J24,"")</f>
        <v>0.16604400166044</v>
      </c>
      <c r="L28" s="6">
        <f>IF('2014'!$J24&gt;0,'2014'!$J24,"")</f>
        <v>0.16085512660855128</v>
      </c>
      <c r="M28" s="6">
        <f>IF('2015'!$J24&gt;0,'2015'!$J24,"")</f>
        <v>0.23522900235229002</v>
      </c>
      <c r="N28" s="6">
        <f>IF('2016'!$J26&gt;0,'2016'!$J26,"")</f>
        <v>0.23990722620859606</v>
      </c>
      <c r="O28" s="6">
        <f>IF('2017'!$J26&gt;0,'2017'!$J26,"")</f>
        <v>0.24652098282235269</v>
      </c>
      <c r="P28" s="6">
        <f>IF('2018'!$J28&gt;0,'2018'!$J28,"")</f>
        <v>0.23311227078350366</v>
      </c>
      <c r="Q28" s="6">
        <f>IF('2019'!$J28&gt;0,'2019'!$J28,"")</f>
        <v>0.24153801551061824</v>
      </c>
      <c r="R28" s="6">
        <f>IF('2020'!$J28&gt;0,'2020'!$J28,"")</f>
        <v>0.23981662680292817</v>
      </c>
    </row>
    <row r="29" spans="1:27" x14ac:dyDescent="0.3">
      <c r="A29" s="13" t="s">
        <v>229</v>
      </c>
      <c r="B29" s="13"/>
      <c r="C29" s="73">
        <f>SUM(C5:C28)</f>
        <v>1985.2</v>
      </c>
      <c r="D29" s="35">
        <f>'2006'!$E$25</f>
        <v>279.20000000000005</v>
      </c>
      <c r="E29" s="35">
        <f>'2007'!$E$25</f>
        <v>390.00000000000006</v>
      </c>
      <c r="F29" s="35">
        <f>'2008'!$E$25</f>
        <v>1148</v>
      </c>
      <c r="G29" s="35">
        <f>'2009'!$E$25</f>
        <v>1250.8</v>
      </c>
      <c r="H29" s="35">
        <f>'2010'!$E$25</f>
        <v>1195.3999999999999</v>
      </c>
      <c r="I29" s="35">
        <f>'2011'!$E$25</f>
        <v>1195.3999999999999</v>
      </c>
      <c r="J29" s="35">
        <f>'2012'!$E$25</f>
        <v>1633.8999999999999</v>
      </c>
      <c r="K29" s="35">
        <f>'2013'!$E$26</f>
        <v>1729.7</v>
      </c>
      <c r="L29" s="35">
        <f>'2014'!$E$26</f>
        <v>1891.7</v>
      </c>
      <c r="M29" s="35">
        <f>'2015'!$E$26</f>
        <v>1891.7</v>
      </c>
      <c r="N29" s="35">
        <f>'2016'!$E$27</f>
        <v>1823.6000000000001</v>
      </c>
      <c r="O29" s="35">
        <f>'2017'!$E$27</f>
        <v>1823.6000000000001</v>
      </c>
      <c r="P29" s="35">
        <f>'2018'!$E$29</f>
        <v>1981.9</v>
      </c>
      <c r="Q29" s="35">
        <f>'2019'!$E$29</f>
        <v>1985.2</v>
      </c>
      <c r="R29" s="35">
        <f>'2020'!$E$29</f>
        <v>1985.3</v>
      </c>
    </row>
    <row r="30" spans="1:27" x14ac:dyDescent="0.3">
      <c r="A30" s="13" t="s">
        <v>184</v>
      </c>
      <c r="B30" s="13"/>
      <c r="C30" s="13"/>
      <c r="D30" s="35">
        <f>'2006'!$I$25</f>
        <v>518.42700000000002</v>
      </c>
      <c r="E30" s="35">
        <f>'2007'!$I$25</f>
        <v>800.18100000000004</v>
      </c>
      <c r="F30" s="35">
        <f>'2008'!$I$25</f>
        <v>1282.325</v>
      </c>
      <c r="G30" s="35">
        <f>'2009'!$I$25</f>
        <v>1959.6000000000004</v>
      </c>
      <c r="H30" s="35">
        <f>'2010'!$I$25</f>
        <v>2215.7999999999997</v>
      </c>
      <c r="I30" s="35">
        <f>'2011'!$I$25</f>
        <v>2472.3000000000002</v>
      </c>
      <c r="J30" s="35">
        <f>'2012'!$I$25</f>
        <v>3060.2</v>
      </c>
      <c r="K30" s="35">
        <f>'2013'!$I$26</f>
        <v>3540.8</v>
      </c>
      <c r="L30" s="35">
        <f>'2014'!$I$26</f>
        <v>3985.1000000000004</v>
      </c>
      <c r="M30" s="35">
        <f>'2015'!$I$26</f>
        <v>3983.8</v>
      </c>
      <c r="N30" s="35">
        <f>'2016'!$I$27</f>
        <v>3943.3</v>
      </c>
      <c r="O30" s="35">
        <f>'2017'!$I$27</f>
        <v>4218.8000000000011</v>
      </c>
      <c r="P30" s="35">
        <f>'2018'!$I$29</f>
        <v>3985.1</v>
      </c>
      <c r="Q30" s="35">
        <f>'2019'!$I$29</f>
        <v>4399.5000000000018</v>
      </c>
      <c r="R30" s="35">
        <f>'2020'!$I$29</f>
        <v>4161.9000000000005</v>
      </c>
    </row>
    <row r="31" spans="1:27" x14ac:dyDescent="0.3">
      <c r="A31" s="13" t="s">
        <v>92</v>
      </c>
      <c r="B31" s="13"/>
      <c r="C31" s="13"/>
      <c r="D31" s="6">
        <f t="shared" ref="D31:Q31" si="0">D30/D33</f>
        <v>0.21196692114456178</v>
      </c>
      <c r="E31" s="6">
        <f t="shared" si="0"/>
        <v>0.26281629355194708</v>
      </c>
      <c r="F31" s="6">
        <f t="shared" si="0"/>
        <v>0.2093143476858508</v>
      </c>
      <c r="G31" s="6">
        <f t="shared" si="0"/>
        <v>0.18910596766554305</v>
      </c>
      <c r="H31" s="6">
        <f t="shared" si="0"/>
        <v>0.18764481118653709</v>
      </c>
      <c r="I31" s="6">
        <f t="shared" si="0"/>
        <v>0.20936648916710701</v>
      </c>
      <c r="J31" s="6">
        <f t="shared" si="0"/>
        <v>0.23154390345401576</v>
      </c>
      <c r="K31" s="6">
        <f t="shared" si="0"/>
        <v>0.25016122568826837</v>
      </c>
      <c r="L31" s="6">
        <f t="shared" si="0"/>
        <v>0.2801686307084561</v>
      </c>
      <c r="M31" s="6">
        <f t="shared" si="0"/>
        <v>0.27772391262143992</v>
      </c>
      <c r="N31" s="6">
        <f t="shared" si="0"/>
        <v>0.2568608347760219</v>
      </c>
      <c r="O31" s="6">
        <f t="shared" si="0"/>
        <v>0.26409200127000537</v>
      </c>
      <c r="P31" s="6">
        <f t="shared" si="0"/>
        <v>0.24502978921793667</v>
      </c>
      <c r="Q31" s="6">
        <f t="shared" si="0"/>
        <v>0.25298510346426584</v>
      </c>
      <c r="R31" s="6">
        <f t="shared" ref="R31" si="1">R30/R33</f>
        <v>0.23931030057221955</v>
      </c>
      <c r="T31" s="80">
        <f>AVERAGE(N31:R31)</f>
        <v>0.25165560586008984</v>
      </c>
    </row>
    <row r="33" spans="1:18" x14ac:dyDescent="0.3">
      <c r="A33" s="13" t="s">
        <v>91</v>
      </c>
      <c r="B33" s="13"/>
      <c r="C33" s="13"/>
      <c r="D33" s="35">
        <f>'2006'!$K25</f>
        <v>2445.7919999999999</v>
      </c>
      <c r="E33" s="35">
        <f>'2007'!$K25</f>
        <v>3044.6399999999994</v>
      </c>
      <c r="F33" s="35">
        <f>'2008'!$K25</f>
        <v>6126.3119999999999</v>
      </c>
      <c r="G33" s="35">
        <f>'2009'!$K25</f>
        <v>10362.444</v>
      </c>
      <c r="H33" s="35">
        <f>'2010'!$K25</f>
        <v>11808.480000000001</v>
      </c>
      <c r="I33" s="35">
        <f>'2011'!$K25</f>
        <v>11808.480000000001</v>
      </c>
      <c r="J33" s="35">
        <f>'2012'!$K25</f>
        <v>13216.500000000002</v>
      </c>
      <c r="K33" s="35">
        <f>'2013'!$K26</f>
        <v>14154.072</v>
      </c>
      <c r="L33" s="35">
        <f>'2014'!$K26</f>
        <v>14223.9336</v>
      </c>
      <c r="M33" s="35">
        <f>'2015'!$K26</f>
        <v>14344.461600000001</v>
      </c>
      <c r="N33" s="35">
        <f>'2016'!$K27</f>
        <v>15351.892800000001</v>
      </c>
      <c r="O33" s="35">
        <f>'2017'!$K27</f>
        <v>15974.736000000001</v>
      </c>
      <c r="P33" s="35">
        <f>'2018'!$K29</f>
        <v>16263.736800000001</v>
      </c>
      <c r="Q33" s="35">
        <f>'2019'!$K29</f>
        <v>17390.351999999999</v>
      </c>
      <c r="R33" s="35">
        <f>'2020'!$K29</f>
        <v>17391.227999999999</v>
      </c>
    </row>
    <row r="35" spans="1:18" x14ac:dyDescent="0.3">
      <c r="D35" s="79">
        <v>2006</v>
      </c>
      <c r="E35" s="79">
        <v>2007</v>
      </c>
      <c r="F35" s="79">
        <v>2008</v>
      </c>
      <c r="G35" s="79">
        <v>2009</v>
      </c>
      <c r="H35" s="79">
        <v>2010</v>
      </c>
      <c r="I35" s="79">
        <v>2011</v>
      </c>
      <c r="J35" s="79">
        <v>2012</v>
      </c>
      <c r="K35" s="79">
        <v>2013</v>
      </c>
      <c r="L35" s="79">
        <v>2014</v>
      </c>
      <c r="M35" s="79">
        <v>2015</v>
      </c>
      <c r="N35" s="79">
        <v>2016</v>
      </c>
      <c r="O35" s="79">
        <v>2017</v>
      </c>
      <c r="P35" s="79">
        <v>2018</v>
      </c>
      <c r="Q35" s="79">
        <v>2019</v>
      </c>
      <c r="R35" s="79">
        <v>2020</v>
      </c>
    </row>
    <row r="36" spans="1:18" x14ac:dyDescent="0.3">
      <c r="A36" t="s">
        <v>229</v>
      </c>
      <c r="C36" s="31">
        <v>1985.2</v>
      </c>
      <c r="D36" s="34">
        <v>279.20000000000005</v>
      </c>
      <c r="E36" s="34">
        <v>390.00000000000006</v>
      </c>
      <c r="F36" s="34">
        <v>1148</v>
      </c>
      <c r="G36" s="34">
        <v>1250.8</v>
      </c>
      <c r="H36" s="34">
        <v>1195.3999999999999</v>
      </c>
      <c r="I36" s="34">
        <v>1195.3999999999999</v>
      </c>
      <c r="J36" s="34">
        <v>1633.8999999999999</v>
      </c>
      <c r="K36" s="34">
        <v>1729.7</v>
      </c>
      <c r="L36" s="34">
        <v>1891.7</v>
      </c>
      <c r="M36" s="34">
        <v>1891.7</v>
      </c>
      <c r="N36" s="34">
        <v>1823.6000000000001</v>
      </c>
      <c r="O36" s="34">
        <v>1823.6000000000001</v>
      </c>
      <c r="P36" s="34">
        <v>1981.9</v>
      </c>
      <c r="Q36" s="34">
        <v>1985.2</v>
      </c>
      <c r="R36" s="34">
        <v>1985.3</v>
      </c>
    </row>
    <row r="37" spans="1:18" x14ac:dyDescent="0.3">
      <c r="A37" t="s">
        <v>184</v>
      </c>
      <c r="D37" s="34">
        <v>518.42700000000002</v>
      </c>
      <c r="E37" s="34">
        <v>800.18100000000004</v>
      </c>
      <c r="F37" s="34">
        <v>1282.325</v>
      </c>
      <c r="G37" s="34">
        <v>1959.6000000000004</v>
      </c>
      <c r="H37" s="34">
        <v>2215.7999999999997</v>
      </c>
      <c r="I37" s="34">
        <v>2472.3000000000002</v>
      </c>
      <c r="J37" s="34">
        <v>3060.2</v>
      </c>
      <c r="K37" s="34">
        <v>3540.8</v>
      </c>
      <c r="L37" s="34">
        <v>3985.1000000000004</v>
      </c>
      <c r="M37" s="34">
        <v>3983.8</v>
      </c>
      <c r="N37" s="34">
        <v>3943.3</v>
      </c>
      <c r="O37" s="34">
        <v>4218.8000000000011</v>
      </c>
      <c r="P37" s="34">
        <v>3985.1</v>
      </c>
      <c r="Q37" s="34">
        <v>4399.5000000000018</v>
      </c>
      <c r="R37" s="34">
        <v>4161.9000000000005</v>
      </c>
    </row>
  </sheetData>
  <mergeCells count="2">
    <mergeCell ref="V2:X2"/>
    <mergeCell ref="D3:R3"/>
  </mergeCells>
  <pageMargins left="0.7" right="0.7" top="0.75" bottom="0.75" header="0.3" footer="0.3"/>
  <pageSetup scale="93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9"/>
  <sheetViews>
    <sheetView workbookViewId="0"/>
  </sheetViews>
  <sheetFormatPr defaultRowHeight="14.4" x14ac:dyDescent="0.3"/>
  <cols>
    <col min="1" max="1" width="30.6640625" bestFit="1" customWidth="1"/>
    <col min="2" max="3" width="6.109375" customWidth="1"/>
    <col min="4" max="4" width="6.5546875" customWidth="1"/>
    <col min="5" max="7" width="6.5546875" bestFit="1" customWidth="1"/>
    <col min="8" max="9" width="6.44140625" bestFit="1" customWidth="1"/>
    <col min="10" max="12" width="6.5546875" customWidth="1"/>
    <col min="13" max="14" width="7.44140625" customWidth="1"/>
  </cols>
  <sheetData>
    <row r="1" spans="1:14" x14ac:dyDescent="0.3">
      <c r="A1" s="37" t="s">
        <v>172</v>
      </c>
    </row>
    <row r="3" spans="1:14" x14ac:dyDescent="0.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x14ac:dyDescent="0.3">
      <c r="A4" s="12" t="s">
        <v>39</v>
      </c>
      <c r="B4" s="11">
        <v>2006</v>
      </c>
      <c r="C4" s="11">
        <v>2007</v>
      </c>
      <c r="D4" s="11">
        <v>2008</v>
      </c>
      <c r="E4" s="11">
        <v>2009</v>
      </c>
      <c r="F4" s="11">
        <v>2010</v>
      </c>
      <c r="G4" s="11">
        <v>2011</v>
      </c>
      <c r="H4" s="11">
        <v>2012</v>
      </c>
      <c r="I4" s="11">
        <v>2013</v>
      </c>
      <c r="J4" s="11">
        <v>2014</v>
      </c>
      <c r="K4" s="11">
        <v>2015</v>
      </c>
      <c r="L4" s="11">
        <v>2016</v>
      </c>
      <c r="M4" s="11">
        <v>2017</v>
      </c>
      <c r="N4" s="11">
        <v>2018</v>
      </c>
    </row>
    <row r="5" spans="1:14" x14ac:dyDescent="0.3">
      <c r="A5" s="13" t="s">
        <v>24</v>
      </c>
      <c r="B5" s="35" t="str">
        <f>IF('2006'!$I5&gt;0,'2006'!$I5,"")</f>
        <v/>
      </c>
      <c r="C5" s="35" t="str">
        <f>IF('2007'!$I5&gt;0,'2007'!$I5,"")</f>
        <v/>
      </c>
      <c r="D5" s="35">
        <f>IF('2008'!$I5&gt;0,'2008'!$I5,"")</f>
        <v>0.70299999999999996</v>
      </c>
      <c r="E5" s="66">
        <f>IF('2009'!$I5&gt;0,'2009'!$I5,"")</f>
        <v>62.4</v>
      </c>
      <c r="F5" s="66">
        <f>IF('2010'!$I5&gt;0,'2010'!$I5,"")</f>
        <v>188.1</v>
      </c>
      <c r="G5" s="66">
        <f>IF('2011'!$I5&gt;0,'2011'!$I5,"")</f>
        <v>178.7</v>
      </c>
      <c r="H5" s="66">
        <f>IF('2012'!$I5&gt;0,'2012'!$I5,"")</f>
        <v>172.5</v>
      </c>
      <c r="I5" s="66">
        <f>IF('2013'!$I5&gt;0,'2013'!$I5,"")</f>
        <v>162.1</v>
      </c>
      <c r="J5" s="66">
        <f>IF('2014'!$I5&gt;0,'2014'!$I5,"")</f>
        <v>186.4</v>
      </c>
      <c r="K5" s="66">
        <f>IF('2015'!$I5&gt;0,'2015'!$I5,"")</f>
        <v>170.1</v>
      </c>
      <c r="L5" s="66">
        <f>IF('2016'!$I5&gt;0,'2016'!$I5,"")</f>
        <v>170.1</v>
      </c>
      <c r="M5" s="66">
        <f>IF('2017'!$I5&gt;0,'2017'!$I5,"")</f>
        <v>175.6</v>
      </c>
      <c r="N5" s="66">
        <f>IF('2018'!$F5&gt;0,'2018'!$F5,"")</f>
        <v>97.5</v>
      </c>
    </row>
    <row r="6" spans="1:14" x14ac:dyDescent="0.3">
      <c r="A6" s="13" t="s">
        <v>182</v>
      </c>
      <c r="B6" s="35"/>
      <c r="C6" s="35"/>
      <c r="D6" s="35"/>
      <c r="E6" s="66"/>
      <c r="F6" s="66"/>
      <c r="G6" s="66"/>
      <c r="H6" s="66"/>
      <c r="I6" s="66"/>
      <c r="J6" s="66"/>
      <c r="K6" s="66"/>
      <c r="L6" s="66"/>
      <c r="M6" s="66"/>
      <c r="N6" s="66" t="str">
        <f>IF('2018'!$F6&gt;0,'2018'!$F6,"")</f>
        <v/>
      </c>
    </row>
    <row r="7" spans="1:14" x14ac:dyDescent="0.3">
      <c r="A7" s="13" t="s">
        <v>26</v>
      </c>
      <c r="B7" s="35" t="str">
        <f>IF('2006'!$I6&gt;0,'2006'!$I6,"")</f>
        <v/>
      </c>
      <c r="C7" s="35" t="str">
        <f>IF('2007'!$I6&gt;0,'2007'!$I6,"")</f>
        <v/>
      </c>
      <c r="D7" s="35">
        <f>IF('2008'!$I6&gt;0,'2008'!$I6,"")</f>
        <v>124.101</v>
      </c>
      <c r="E7" s="66">
        <f>IF('2009'!$I6&gt;0,'2009'!$I6,"")</f>
        <v>193.8</v>
      </c>
      <c r="F7" s="66">
        <f>IF('2010'!$I6&gt;0,'2010'!$I6,"")</f>
        <v>187.6</v>
      </c>
      <c r="G7" s="66">
        <f>IF('2011'!$I6&gt;0,'2011'!$I6,"")</f>
        <v>190.8</v>
      </c>
      <c r="H7" s="66">
        <f>IF('2012'!$I6&gt;0,'2012'!$I6,"")</f>
        <v>205</v>
      </c>
      <c r="I7" s="66">
        <f>IF('2013'!$I6&gt;0,'2013'!$I6,"")</f>
        <v>204.6</v>
      </c>
      <c r="J7" s="66">
        <f>IF('2014'!$I6&gt;0,'2014'!$I6,"")</f>
        <v>206.6</v>
      </c>
      <c r="K7" s="66">
        <f>IF('2015'!$I6&gt;0,'2015'!$I6,"")</f>
        <v>205.3</v>
      </c>
      <c r="L7" s="66">
        <f>IF('2016'!$I6&gt;0,'2016'!$I6,"")</f>
        <v>204.4</v>
      </c>
      <c r="M7" s="66">
        <f>IF('2017'!$I6&gt;0,'2017'!$I6,"")</f>
        <v>210.4</v>
      </c>
      <c r="N7" s="66">
        <f>IF('2018'!$F7&gt;0,'2018'!$F7,"")</f>
        <v>100.5</v>
      </c>
    </row>
    <row r="8" spans="1:14" x14ac:dyDescent="0.3">
      <c r="A8" s="13" t="s">
        <v>0</v>
      </c>
      <c r="B8" s="35" t="str">
        <f>IF('2006'!$I7&gt;0,'2006'!$I7,"")</f>
        <v/>
      </c>
      <c r="C8" s="35" t="str">
        <f>IF('2007'!$I7&gt;0,'2007'!$I7,"")</f>
        <v/>
      </c>
      <c r="D8" s="35">
        <f>IF('2008'!$I7&gt;0,'2008'!$I7,"")</f>
        <v>10.154999999999999</v>
      </c>
      <c r="E8" s="66">
        <f>IF('2009'!$I7&gt;0,'2009'!$I7,"")</f>
        <v>198.9</v>
      </c>
      <c r="F8" s="66">
        <f>IF('2010'!$I7&gt;0,'2010'!$I7,"")</f>
        <v>258.5</v>
      </c>
      <c r="G8" s="66">
        <f>IF('2011'!$I7&gt;0,'2011'!$I7,"")</f>
        <v>242.4</v>
      </c>
      <c r="H8" s="66">
        <f>IF('2012'!$I7&gt;0,'2012'!$I7,"")</f>
        <v>247</v>
      </c>
      <c r="I8" s="66">
        <f>IF('2013'!$I7&gt;0,'2013'!$I7,"")</f>
        <v>240.9</v>
      </c>
      <c r="J8" s="66">
        <f>IF('2014'!$I7&gt;0,'2014'!$I7,"")</f>
        <v>259.5</v>
      </c>
      <c r="K8" s="66">
        <f>IF('2015'!$I7&gt;0,'2015'!$I7,"")</f>
        <v>261</v>
      </c>
      <c r="L8" s="66">
        <f>IF('2016'!$I7&gt;0,'2016'!$I7,"")</f>
        <v>258.7</v>
      </c>
      <c r="M8" s="66">
        <f>IF('2017'!$I7&gt;0,'2017'!$I7,"")</f>
        <v>264.60000000000002</v>
      </c>
      <c r="N8" s="66">
        <f>IF('2018'!$F8&gt;0,'2018'!$F8,"")</f>
        <v>125</v>
      </c>
    </row>
    <row r="9" spans="1:14" x14ac:dyDescent="0.3">
      <c r="A9" s="13" t="s">
        <v>28</v>
      </c>
      <c r="B9" s="35" t="str">
        <f>IF('2006'!$I8&gt;0,'2006'!$I8,"")</f>
        <v/>
      </c>
      <c r="C9" s="35" t="str">
        <f>IF('2007'!$I8&gt;0,'2007'!$I8,"")</f>
        <v/>
      </c>
      <c r="D9" s="35">
        <f>IF('2008'!$I8&gt;0,'2008'!$I8,"")</f>
        <v>16.094999999999999</v>
      </c>
      <c r="E9" s="66">
        <f>IF('2009'!$I8&gt;0,'2009'!$I8,"")</f>
        <v>72</v>
      </c>
      <c r="F9" s="66">
        <f>IF('2010'!$I8&gt;0,'2010'!$I8,"")</f>
        <v>192.2</v>
      </c>
      <c r="G9" s="66">
        <f>IF('2011'!$I8&gt;0,'2011'!$I8,"")</f>
        <v>201.8</v>
      </c>
      <c r="H9" s="66">
        <f>IF('2012'!$I8&gt;0,'2012'!$I8,"")</f>
        <v>191.8</v>
      </c>
      <c r="I9" s="66">
        <f>IF('2013'!$I8&gt;0,'2013'!$I8,"")</f>
        <v>188.5</v>
      </c>
      <c r="J9" s="66">
        <f>IF('2014'!$I8&gt;0,'2014'!$I8,"")</f>
        <v>200.5</v>
      </c>
      <c r="K9" s="66">
        <f>IF('2015'!$I8&gt;0,'2015'!$I8,"")</f>
        <v>211.4</v>
      </c>
      <c r="L9" s="66">
        <f>IF('2016'!$I8&gt;0,'2016'!$I8,"")</f>
        <v>209.6</v>
      </c>
      <c r="M9" s="66">
        <f>IF('2017'!$I8&gt;0,'2017'!$I8,"")</f>
        <v>208.5</v>
      </c>
      <c r="N9" s="66">
        <f>IF('2018'!$F9&gt;0,'2018'!$F9,"")</f>
        <v>106.5</v>
      </c>
    </row>
    <row r="10" spans="1:14" x14ac:dyDescent="0.3">
      <c r="A10" s="13" t="s">
        <v>30</v>
      </c>
      <c r="B10" s="35" t="str">
        <f>IF('2006'!$I9&gt;0,'2006'!$I9,"")</f>
        <v/>
      </c>
      <c r="C10" s="35" t="str">
        <f>IF('2007'!$I9&gt;0,'2007'!$I9,"")</f>
        <v/>
      </c>
      <c r="D10" s="35">
        <f>IF('2008'!$I9&gt;0,'2008'!$I9,"")</f>
        <v>75.709999999999994</v>
      </c>
      <c r="E10" s="66">
        <f>IF('2009'!$I9&gt;0,'2009'!$I9,"")</f>
        <v>178</v>
      </c>
      <c r="F10" s="66">
        <f>IF('2010'!$I9&gt;0,'2010'!$I9,"")</f>
        <v>173.8</v>
      </c>
      <c r="G10" s="66">
        <f>IF('2011'!$I9&gt;0,'2011'!$I9,"")</f>
        <v>174.4</v>
      </c>
      <c r="H10" s="66">
        <f>IF('2012'!$I9&gt;0,'2012'!$I9,"")</f>
        <v>167.5</v>
      </c>
      <c r="I10" s="66">
        <f>IF('2013'!$I9&gt;0,'2013'!$I9,"")</f>
        <v>176.3</v>
      </c>
      <c r="J10" s="66">
        <f>IF('2014'!$I9&gt;0,'2014'!$I9,"")</f>
        <v>186.2</v>
      </c>
      <c r="K10" s="66">
        <f>IF('2015'!$I9&gt;0,'2015'!$I9,"")</f>
        <v>174.9</v>
      </c>
      <c r="L10" s="66">
        <f>IF('2016'!$I9&gt;0,'2016'!$I9,"")</f>
        <v>175.1</v>
      </c>
      <c r="M10" s="66">
        <f>IF('2017'!$I9&gt;0,'2017'!$I9,"")</f>
        <v>170.9</v>
      </c>
      <c r="N10" s="66">
        <f>IF('2018'!$F10&gt;0,'2018'!$F10,"")</f>
        <v>100.5</v>
      </c>
    </row>
    <row r="11" spans="1:14" x14ac:dyDescent="0.3">
      <c r="A11" s="13" t="s">
        <v>180</v>
      </c>
      <c r="B11" s="35"/>
      <c r="C11" s="35"/>
      <c r="D11" s="35"/>
      <c r="E11" s="66"/>
      <c r="F11" s="66"/>
      <c r="G11" s="66"/>
      <c r="H11" s="66"/>
      <c r="I11" s="66"/>
      <c r="J11" s="66"/>
      <c r="K11" s="66"/>
      <c r="L11" s="66"/>
      <c r="M11" s="66"/>
      <c r="N11" s="66">
        <f>IF('2018'!$F11&gt;0,'2018'!$F11,"")</f>
        <v>79.900000000000006</v>
      </c>
    </row>
    <row r="12" spans="1:14" x14ac:dyDescent="0.3">
      <c r="A12" s="13" t="s">
        <v>32</v>
      </c>
      <c r="B12" s="35" t="str">
        <f>IF('2006'!$I10&gt;0,'2006'!$I10,"")</f>
        <v/>
      </c>
      <c r="C12" s="35" t="str">
        <f>IF('2007'!$I10&gt;0,'2007'!$I10,"")</f>
        <v/>
      </c>
      <c r="D12" s="35">
        <f>IF('2008'!$I10&gt;0,'2008'!$I10,"")</f>
        <v>76.55</v>
      </c>
      <c r="E12" s="66">
        <f>IF('2009'!$I10&gt;0,'2009'!$I10,"")</f>
        <v>161.69999999999999</v>
      </c>
      <c r="F12" s="66">
        <f>IF('2010'!$I10&gt;0,'2010'!$I10,"")</f>
        <v>157.5</v>
      </c>
      <c r="G12" s="66">
        <f>IF('2011'!$I10&gt;0,'2011'!$I10,"")</f>
        <v>167.9</v>
      </c>
      <c r="H12" s="66">
        <f>IF('2012'!$I10&gt;0,'2012'!$I10,"")</f>
        <v>157.80000000000001</v>
      </c>
      <c r="I12" s="66">
        <f>IF('2013'!$I10&gt;0,'2013'!$I10,"")</f>
        <v>164.4</v>
      </c>
      <c r="J12" s="66">
        <f>IF('2014'!$I10&gt;0,'2014'!$I10,"")</f>
        <v>176.6</v>
      </c>
      <c r="K12" s="66">
        <f>IF('2015'!$I10&gt;0,'2015'!$I10,"")</f>
        <v>173.5</v>
      </c>
      <c r="L12" s="66">
        <f>IF('2016'!$I10&gt;0,'2016'!$I10,"")</f>
        <v>168.8</v>
      </c>
      <c r="M12" s="66">
        <f>IF('2017'!$I10&gt;0,'2017'!$I10,"")</f>
        <v>173.2</v>
      </c>
      <c r="N12" s="66">
        <f>IF('2018'!$F12&gt;0,'2018'!$F12,"")</f>
        <v>81</v>
      </c>
    </row>
    <row r="13" spans="1:14" x14ac:dyDescent="0.3">
      <c r="A13" s="13" t="s">
        <v>10</v>
      </c>
      <c r="B13" s="35" t="str">
        <f>IF('2006'!$I11&gt;0,'2006'!$I11,"")</f>
        <v/>
      </c>
      <c r="C13" s="35" t="str">
        <f>IF('2007'!$I11&gt;0,'2007'!$I11,"")</f>
        <v/>
      </c>
      <c r="D13" s="35" t="str">
        <f>IF('2008'!$I11&gt;0,'2008'!$I11,"")</f>
        <v/>
      </c>
      <c r="E13" s="66" t="str">
        <f>IF('2009'!$I11&gt;0,'2009'!$I11,"")</f>
        <v/>
      </c>
      <c r="F13" s="66" t="str">
        <f>IF('2010'!$I11&gt;0,'2010'!$I11,"")</f>
        <v/>
      </c>
      <c r="G13" s="66" t="str">
        <f>IF('2011'!$I11&gt;0,'2011'!$I11,"")</f>
        <v/>
      </c>
      <c r="H13" s="66">
        <f>IF('2012'!$I11&gt;0,'2012'!$I11,"")</f>
        <v>33.299999999999997</v>
      </c>
      <c r="I13" s="66">
        <f>IF('2013'!$I11&gt;0,'2013'!$I11,"")</f>
        <v>41.4</v>
      </c>
      <c r="J13" s="66">
        <f>IF('2014'!$I11&gt;0,'2014'!$I11,"")</f>
        <v>39.299999999999997</v>
      </c>
      <c r="K13" s="66">
        <f>IF('2015'!$I11&gt;0,'2015'!$I11,"")</f>
        <v>38</v>
      </c>
      <c r="L13" s="66">
        <f>IF('2016'!$I11&gt;0,'2016'!$I11,"")</f>
        <v>38.1</v>
      </c>
      <c r="M13" s="66">
        <f>IF('2017'!$I11&gt;0,'2017'!$I11,"")</f>
        <v>36.799999999999997</v>
      </c>
      <c r="N13" s="66" t="str">
        <f>IF('2018'!$F13&gt;0,'2018'!$F13,"")</f>
        <v/>
      </c>
    </row>
    <row r="14" spans="1:14" x14ac:dyDescent="0.3">
      <c r="A14" s="13" t="s">
        <v>5</v>
      </c>
      <c r="B14" s="35">
        <f>IF('2006'!$I12&gt;0,'2006'!$I12,"")</f>
        <v>77.272999999999996</v>
      </c>
      <c r="C14" s="35">
        <f>IF('2007'!$I12&gt;0,'2007'!$I12,"")</f>
        <v>23.855</v>
      </c>
      <c r="D14" s="35">
        <f>IF('2008'!$I12&gt;0,'2008'!$I12,"")</f>
        <v>70.914000000000001</v>
      </c>
      <c r="E14" s="66">
        <f>IF('2009'!$I12&gt;0,'2009'!$I12,"")</f>
        <v>68.599999999999994</v>
      </c>
      <c r="F14" s="66">
        <f>IF('2010'!$I12&gt;0,'2010'!$I12,"")</f>
        <v>26.1</v>
      </c>
      <c r="G14" s="66">
        <f>IF('2011'!$I12&gt;0,'2011'!$I12,"")</f>
        <v>66</v>
      </c>
      <c r="H14" s="66">
        <f>IF('2012'!$I12&gt;0,'2012'!$I12,"")</f>
        <v>59</v>
      </c>
      <c r="I14" s="66">
        <f>IF('2013'!$I12&gt;0,'2013'!$I12,"")</f>
        <v>68.3</v>
      </c>
      <c r="J14" s="66">
        <f>IF('2014'!$I12&gt;0,'2014'!$I12,"")</f>
        <v>66.8</v>
      </c>
      <c r="K14" s="66">
        <f>IF('2015'!$I12&gt;0,'2015'!$I12,"")</f>
        <v>67.400000000000006</v>
      </c>
      <c r="L14" s="66">
        <f>IF('2016'!$I12&gt;0,'2016'!$I12,"")</f>
        <v>62.4</v>
      </c>
      <c r="M14" s="66">
        <f>IF('2017'!$I12&gt;0,'2017'!$I12,"")</f>
        <v>44.4</v>
      </c>
      <c r="N14" s="66" t="str">
        <f>IF('2018'!$F14&gt;0,'2018'!$F14,"")</f>
        <v/>
      </c>
    </row>
    <row r="15" spans="1:14" x14ac:dyDescent="0.3">
      <c r="A15" s="13" t="s">
        <v>15</v>
      </c>
      <c r="B15" s="35" t="str">
        <f>IF('2006'!$I13&gt;0,'2006'!$I13,"")</f>
        <v/>
      </c>
      <c r="C15" s="35" t="str">
        <f>IF('2007'!$I13&gt;0,'2007'!$I13,"")</f>
        <v/>
      </c>
      <c r="D15" s="35" t="str">
        <f>IF('2008'!$I13&gt;0,'2008'!$I13,"")</f>
        <v/>
      </c>
      <c r="E15" s="66" t="str">
        <f>IF('2009'!$I13&gt;0,'2009'!$I13,"")</f>
        <v/>
      </c>
      <c r="F15" s="66" t="str">
        <f>IF('2010'!$I13&gt;0,'2010'!$I13,"")</f>
        <v/>
      </c>
      <c r="G15" s="66">
        <f>IF('2011'!$I13&gt;0,'2011'!$I13,"")</f>
        <v>147.69999999999999</v>
      </c>
      <c r="H15" s="66">
        <f>IF('2012'!$I13&gt;0,'2012'!$I13,"")</f>
        <v>172.1</v>
      </c>
      <c r="I15" s="66">
        <f>IF('2013'!$I13&gt;0,'2013'!$I13,"")</f>
        <v>181.1</v>
      </c>
      <c r="J15" s="66">
        <f>IF('2014'!$I13&gt;0,'2014'!$I13,"")</f>
        <v>184.3</v>
      </c>
      <c r="K15" s="66">
        <f>IF('2015'!$I13&gt;0,'2015'!$I13,"")</f>
        <v>183.5</v>
      </c>
      <c r="L15" s="66">
        <f>IF('2016'!$I13&gt;0,'2016'!$I13,"")</f>
        <v>182</v>
      </c>
      <c r="M15" s="66">
        <f>IF('2017'!$I13&gt;0,'2017'!$I13,"")</f>
        <v>177.6</v>
      </c>
      <c r="N15" s="66">
        <f>IF('2018'!$F15&gt;0,'2018'!$F15,"")</f>
        <v>74</v>
      </c>
    </row>
    <row r="16" spans="1:14" x14ac:dyDescent="0.3">
      <c r="A16" s="13" t="s">
        <v>73</v>
      </c>
      <c r="B16" s="35" t="str">
        <f>IF('2006'!$I14&gt;0,'2006'!$I14,"")</f>
        <v/>
      </c>
      <c r="C16" s="35" t="str">
        <f>IF('2007'!$I14&gt;0,'2007'!$I14,"")</f>
        <v/>
      </c>
      <c r="D16" s="35" t="str">
        <f>IF('2008'!$I14&gt;0,'2008'!$I14,"")</f>
        <v/>
      </c>
      <c r="E16" s="66">
        <f>IF('2009'!$I14&gt;0,'2009'!$I14,"")</f>
        <v>184.3</v>
      </c>
      <c r="F16" s="66">
        <f>IF('2010'!$I14&gt;0,'2010'!$I14,"")</f>
        <v>241</v>
      </c>
      <c r="G16" s="66">
        <f>IF('2011'!$I14&gt;0,'2011'!$I14,"")</f>
        <v>261.10000000000002</v>
      </c>
      <c r="H16" s="66">
        <f>IF('2012'!$I14&gt;0,'2012'!$I14,"")</f>
        <v>254.6</v>
      </c>
      <c r="I16" s="66">
        <f>IF('2013'!$I14&gt;0,'2013'!$I14,"")</f>
        <v>267.5</v>
      </c>
      <c r="J16" s="66">
        <f>IF('2014'!$I14&gt;0,'2014'!$I14,"")</f>
        <v>270.7</v>
      </c>
      <c r="K16" s="66">
        <f>IF('2015'!$I14&gt;0,'2015'!$I14,"")</f>
        <v>258.39999999999998</v>
      </c>
      <c r="L16" s="66">
        <f>IF('2016'!$I14&gt;0,'2016'!$I14,"")</f>
        <v>267.60000000000002</v>
      </c>
      <c r="M16" s="66">
        <f>IF('2017'!$I14&gt;0,'2017'!$I14,"")</f>
        <v>268.39999999999998</v>
      </c>
      <c r="N16" s="66">
        <f>IF('2018'!$F16&gt;0,'2018'!$F16,"")</f>
        <v>112.5</v>
      </c>
    </row>
    <row r="17" spans="1:14" x14ac:dyDescent="0.3">
      <c r="A17" s="13" t="s">
        <v>17</v>
      </c>
      <c r="B17" s="35" t="str">
        <f>IF('2006'!$I15&gt;0,'2006'!$I15,"")</f>
        <v/>
      </c>
      <c r="C17" s="35" t="str">
        <f>IF('2007'!$I15&gt;0,'2007'!$I15,"")</f>
        <v/>
      </c>
      <c r="D17" s="35" t="str">
        <f>IF('2008'!$I15&gt;0,'2008'!$I15,"")</f>
        <v/>
      </c>
      <c r="E17" s="66" t="str">
        <f>IF('2009'!$I15&gt;0,'2009'!$I15,"")</f>
        <v/>
      </c>
      <c r="F17" s="66" t="str">
        <f>IF('2010'!$I15&gt;0,'2010'!$I15,"")</f>
        <v/>
      </c>
      <c r="G17" s="66" t="str">
        <f>IF('2011'!$I15&gt;0,'2011'!$I15,"")</f>
        <v/>
      </c>
      <c r="H17" s="66">
        <f>IF('2012'!$I15&gt;0,'2012'!$I15,"")</f>
        <v>115.1</v>
      </c>
      <c r="I17" s="66">
        <f>IF('2013'!$I15&gt;0,'2013'!$I15,"")</f>
        <v>134.1</v>
      </c>
      <c r="J17" s="66">
        <f>IF('2014'!$I15&gt;0,'2014'!$I15,"")</f>
        <v>133</v>
      </c>
      <c r="K17" s="66">
        <f>IF('2015'!$I15&gt;0,'2015'!$I15,"")</f>
        <v>128.9</v>
      </c>
      <c r="L17" s="66">
        <f>IF('2016'!$I15&gt;0,'2016'!$I15,"")</f>
        <v>133.80000000000001</v>
      </c>
      <c r="M17" s="66">
        <f>IF('2017'!$I15&gt;0,'2017'!$I15,"")</f>
        <v>133.6</v>
      </c>
      <c r="N17" s="66">
        <f>IF('2018'!$F17&gt;0,'2018'!$F17,"")</f>
        <v>57.4</v>
      </c>
    </row>
    <row r="18" spans="1:14" x14ac:dyDescent="0.3">
      <c r="A18" s="13" t="s">
        <v>171</v>
      </c>
      <c r="B18" s="35"/>
      <c r="C18" s="35"/>
      <c r="D18" s="35"/>
      <c r="E18" s="66"/>
      <c r="F18" s="66"/>
      <c r="G18" s="66"/>
      <c r="H18" s="66"/>
      <c r="I18" s="66"/>
      <c r="J18" s="66"/>
      <c r="K18" s="66"/>
      <c r="L18" s="66">
        <f>IF('2016'!$I16&gt;0,'2016'!$I16,"")</f>
        <v>15.3</v>
      </c>
      <c r="M18" s="66">
        <f>IF('2017'!$I16&gt;0,'2017'!$I16,"")</f>
        <v>246.3</v>
      </c>
      <c r="N18" s="66">
        <f>IF('2018'!$F18&gt;0,'2018'!$F18,"")</f>
        <v>77.7</v>
      </c>
    </row>
    <row r="19" spans="1:14" x14ac:dyDescent="0.3">
      <c r="A19" s="13" t="s">
        <v>19</v>
      </c>
      <c r="B19" s="35">
        <f>IF('2006'!$I16&gt;0,'2006'!$I16,"")</f>
        <v>20.207000000000001</v>
      </c>
      <c r="C19" s="35">
        <f>IF('2007'!$I16&gt;0,'2007'!$I16,"")</f>
        <v>21.254000000000001</v>
      </c>
      <c r="D19" s="35">
        <f>IF('2008'!$I16&gt;0,'2008'!$I16,"")</f>
        <v>19.064</v>
      </c>
      <c r="E19" s="66">
        <f>IF('2009'!$I16&gt;0,'2009'!$I16,"")</f>
        <v>19.7</v>
      </c>
      <c r="F19" s="66">
        <f>IF('2010'!$I16&gt;0,'2010'!$I16,"")</f>
        <v>18</v>
      </c>
      <c r="G19" s="66">
        <f>IF('2011'!$I16&gt;0,'2011'!$I16,"")</f>
        <v>21.7</v>
      </c>
      <c r="H19" s="66">
        <f>IF('2012'!$I16&gt;0,'2012'!$I16,"")</f>
        <v>19</v>
      </c>
      <c r="I19" s="66">
        <f>IF('2013'!$I16&gt;0,'2013'!$I16,"")</f>
        <v>20.5</v>
      </c>
      <c r="J19" s="66">
        <f>IF('2014'!$I16&gt;0,'2014'!$I16,"")</f>
        <v>21</v>
      </c>
      <c r="K19" s="66">
        <f>IF('2015'!$I16&gt;0,'2015'!$I16,"")</f>
        <v>19.7</v>
      </c>
      <c r="L19" s="66">
        <f>IF('2016'!$I17&gt;0,'2016'!$I17,"")</f>
        <v>20</v>
      </c>
      <c r="M19" s="66">
        <f>IF('2017'!$I17&gt;0,'2017'!$I17,"")</f>
        <v>20.8</v>
      </c>
      <c r="N19" s="66">
        <f>IF('2018'!$F19&gt;0,'2018'!$F19,"")</f>
        <v>11.5</v>
      </c>
    </row>
    <row r="20" spans="1:14" x14ac:dyDescent="0.3">
      <c r="A20" s="13" t="s">
        <v>14</v>
      </c>
      <c r="B20" s="35">
        <f>IF('2006'!$I17&gt;0,'2006'!$I17,"")</f>
        <v>406.50900000000001</v>
      </c>
      <c r="C20" s="35">
        <f>IF('2007'!$I17&gt;0,'2007'!$I17,"")</f>
        <v>729.23500000000001</v>
      </c>
      <c r="D20" s="35">
        <f>IF('2008'!$I17&gt;0,'2008'!$I17,"")</f>
        <v>537.91600000000005</v>
      </c>
      <c r="E20" s="66">
        <f>IF('2009'!$I17&gt;0,'2009'!$I17,"")</f>
        <v>527.9</v>
      </c>
      <c r="F20" s="66">
        <f>IF('2010'!$I17&gt;0,'2010'!$I17,"")</f>
        <v>494.7</v>
      </c>
      <c r="G20" s="66">
        <f>IF('2011'!$I17&gt;0,'2011'!$I17,"")</f>
        <v>530.20000000000005</v>
      </c>
      <c r="H20" s="66">
        <f>IF('2012'!$I17&gt;0,'2012'!$I17,"")</f>
        <v>525.1</v>
      </c>
      <c r="I20" s="66">
        <f>IF('2013'!$I17&gt;0,'2013'!$I17,"")</f>
        <v>544.6</v>
      </c>
      <c r="J20" s="66">
        <f>IF('2014'!$I17&gt;0,'2014'!$I17,"")</f>
        <v>587.4</v>
      </c>
      <c r="K20" s="66">
        <f>IF('2015'!$I17&gt;0,'2015'!$I17,"")</f>
        <v>568.4</v>
      </c>
      <c r="L20" s="66">
        <f>IF('2016'!$I18&gt;0,'2016'!$I18,"")</f>
        <v>554.9</v>
      </c>
      <c r="M20" s="66">
        <f>IF('2017'!$I18&gt;0,'2017'!$I18,"")</f>
        <v>570.5</v>
      </c>
      <c r="N20" s="66">
        <f>IF('2018'!$F20&gt;0,'2018'!$F20,"")</f>
        <v>231</v>
      </c>
    </row>
    <row r="21" spans="1:14" x14ac:dyDescent="0.3">
      <c r="A21" s="13" t="s">
        <v>11</v>
      </c>
      <c r="B21" s="35" t="str">
        <f>IF('2006'!$I18&gt;0,'2006'!$I18,"")</f>
        <v/>
      </c>
      <c r="C21" s="35" t="str">
        <f>IF('2007'!$I18&gt;0,'2007'!$I18,"")</f>
        <v/>
      </c>
      <c r="D21" s="35">
        <f>IF('2008'!$I18&gt;0,'2008'!$I18,"")</f>
        <v>213.28100000000001</v>
      </c>
      <c r="E21" s="66">
        <f>IF('2009'!$I18&gt;0,'2009'!$I18,"")</f>
        <v>203.4</v>
      </c>
      <c r="F21" s="66">
        <f>IF('2010'!$I18&gt;0,'2010'!$I18,"")</f>
        <v>193.6</v>
      </c>
      <c r="G21" s="66">
        <f>IF('2011'!$I18&gt;0,'2011'!$I18,"")</f>
        <v>202.1</v>
      </c>
      <c r="H21" s="66">
        <f>IF('2012'!$I18&gt;0,'2012'!$I18,"")</f>
        <v>201.3</v>
      </c>
      <c r="I21" s="66">
        <f>IF('2013'!$I18&gt;0,'2013'!$I18,"")</f>
        <v>209.2</v>
      </c>
      <c r="J21" s="66">
        <f>IF('2014'!$I18&gt;0,'2014'!$I18,"")</f>
        <v>225.8</v>
      </c>
      <c r="K21" s="66">
        <f>IF('2015'!$I18&gt;0,'2015'!$I18,"")</f>
        <v>217</v>
      </c>
      <c r="L21" s="66">
        <f>IF('2016'!$I19&gt;0,'2016'!$I19,"")</f>
        <v>212</v>
      </c>
      <c r="M21" s="66">
        <f>IF('2017'!$I19&gt;0,'2017'!$I19,"")</f>
        <v>218.6</v>
      </c>
      <c r="N21" s="66">
        <f>IF('2018'!$F21&gt;0,'2018'!$F21,"")</f>
        <v>90.7</v>
      </c>
    </row>
    <row r="22" spans="1:14" x14ac:dyDescent="0.3">
      <c r="A22" s="7" t="s">
        <v>21</v>
      </c>
      <c r="B22" s="35" t="str">
        <f>IF('2006'!$I19&gt;0,'2006'!$I19,"")</f>
        <v/>
      </c>
      <c r="C22" s="35" t="str">
        <f>IF('2007'!$I19&gt;0,'2007'!$I19,"")</f>
        <v/>
      </c>
      <c r="D22" s="35" t="str">
        <f>IF('2008'!$I19&gt;0,'2008'!$I19,"")</f>
        <v/>
      </c>
      <c r="E22" s="66" t="str">
        <f>IF('2009'!$I19&gt;0,'2009'!$I19,"")</f>
        <v/>
      </c>
      <c r="F22" s="66" t="str">
        <f>IF('2010'!$I19&gt;0,'2010'!$I19,"")</f>
        <v/>
      </c>
      <c r="G22" s="66" t="str">
        <f>IF('2011'!$I19&gt;0,'2011'!$I19,"")</f>
        <v/>
      </c>
      <c r="H22" s="66">
        <f>IF('2012'!$I19&gt;0,'2012'!$I19,"")</f>
        <v>142.6</v>
      </c>
      <c r="I22" s="66">
        <f>IF('2013'!$I19&gt;0,'2013'!$I19,"")</f>
        <v>513</v>
      </c>
      <c r="J22" s="66">
        <f>IF('2014'!$I19&gt;0,'2014'!$I19,"")</f>
        <v>539.20000000000005</v>
      </c>
      <c r="K22" s="66">
        <f>IF('2015'!$I19&gt;0,'2015'!$I19,"")</f>
        <v>543.4</v>
      </c>
      <c r="L22" s="66">
        <f>IF('2016'!$I20&gt;0,'2016'!$I20,"")</f>
        <v>523.6</v>
      </c>
      <c r="M22" s="66">
        <f>IF('2017'!$I20&gt;0,'2017'!$I20,"")</f>
        <v>542.20000000000005</v>
      </c>
      <c r="N22" s="66" t="str">
        <f>IF('2018'!$F22&gt;0,'2018'!$F22,"")</f>
        <v/>
      </c>
    </row>
    <row r="23" spans="1:14" x14ac:dyDescent="0.3">
      <c r="A23" s="13" t="s">
        <v>150</v>
      </c>
      <c r="B23" s="35"/>
      <c r="C23" s="35"/>
      <c r="D23" s="35"/>
      <c r="E23" s="66"/>
      <c r="F23" s="66"/>
      <c r="G23" s="66"/>
      <c r="H23" s="66"/>
      <c r="I23" s="66"/>
      <c r="J23" s="66"/>
      <c r="K23" s="66">
        <f>IF('2015'!$I20&gt;0,'2015'!$I20,"")</f>
        <v>56.3</v>
      </c>
      <c r="L23" s="66">
        <f>IF('2016'!$I21&gt;0,'2016'!$I21,"")</f>
        <v>55</v>
      </c>
      <c r="M23" s="66">
        <f>IF('2017'!$I21&gt;0,'2017'!$I21,"")</f>
        <v>48.8</v>
      </c>
      <c r="N23" s="66" t="str">
        <f>IF('2018'!$F23&gt;0,'2018'!$F23,"")</f>
        <v/>
      </c>
    </row>
    <row r="24" spans="1:14" x14ac:dyDescent="0.3">
      <c r="A24" s="13" t="s">
        <v>35</v>
      </c>
      <c r="B24" s="35" t="str">
        <f>IF('2006'!$I21&gt;0,'2006'!$I21,"")</f>
        <v/>
      </c>
      <c r="C24" s="35" t="str">
        <f>IF('2007'!$I21&gt;0,'2007'!$I21,"")</f>
        <v/>
      </c>
      <c r="D24" s="35">
        <f>IF('2008'!$I21&gt;0,'2008'!$I21,"")</f>
        <v>89.072000000000003</v>
      </c>
      <c r="E24" s="66">
        <f>IF('2009'!$I21&gt;0,'2009'!$I21,"")</f>
        <v>88.9</v>
      </c>
      <c r="F24" s="66">
        <f>IF('2010'!$I21&gt;0,'2010'!$I21,"")</f>
        <v>84.7</v>
      </c>
      <c r="G24" s="66">
        <f>IF('2011'!$I21&gt;0,'2011'!$I21,"")</f>
        <v>87.5</v>
      </c>
      <c r="H24" s="66">
        <f>IF('2012'!$I21&gt;0,'2012'!$I21,"")</f>
        <v>86.7</v>
      </c>
      <c r="I24" s="66">
        <f>IF('2013'!$I21&gt;0,'2013'!$I21,"")</f>
        <v>89.5</v>
      </c>
      <c r="J24" s="66">
        <f>IF('2014'!$I21&gt;0,'2014'!$I21,"")</f>
        <v>96</v>
      </c>
      <c r="K24" s="66">
        <f>IF('2015'!$I21&gt;0,'2015'!$I21,"")</f>
        <v>91.3</v>
      </c>
      <c r="L24" s="66">
        <f>IF('2016'!$I22&gt;0,'2016'!$I22,"")</f>
        <v>93.9</v>
      </c>
      <c r="M24" s="66">
        <f>IF('2017'!$I22&gt;0,'2017'!$I22,"")</f>
        <v>96.7</v>
      </c>
      <c r="N24" s="66">
        <f>IF('2018'!$F24&gt;0,'2018'!$F24,"")</f>
        <v>34.5</v>
      </c>
    </row>
    <row r="25" spans="1:14" x14ac:dyDescent="0.3">
      <c r="A25" s="13" t="s">
        <v>144</v>
      </c>
      <c r="B25" s="35"/>
      <c r="C25" s="35"/>
      <c r="D25" s="35"/>
      <c r="E25" s="66"/>
      <c r="F25" s="66"/>
      <c r="G25" s="66"/>
      <c r="H25" s="66"/>
      <c r="I25" s="66">
        <f>IF('2013'!$I22&gt;0,'2013'!$I22,"")</f>
        <v>8.3000000000000007</v>
      </c>
      <c r="J25" s="66">
        <f>IF('2014'!$I22&gt;0,'2014'!$I22,"")</f>
        <v>274.10000000000002</v>
      </c>
      <c r="K25" s="66">
        <f>IF('2015'!$I22&gt;0,'2015'!$I22,"")</f>
        <v>286.89999999999998</v>
      </c>
      <c r="L25" s="66">
        <f>IF('2016'!$I23&gt;0,'2016'!$I23,"")</f>
        <v>265</v>
      </c>
      <c r="M25" s="66">
        <f>IF('2017'!$I23&gt;0,'2017'!$I23,"")</f>
        <v>279.89999999999998</v>
      </c>
      <c r="N25" s="66">
        <f>IF('2018'!$F25&gt;0,'2018'!$F25,"")</f>
        <v>88.5</v>
      </c>
    </row>
    <row r="26" spans="1:14" x14ac:dyDescent="0.3">
      <c r="A26" s="13" t="s">
        <v>7</v>
      </c>
      <c r="B26" s="35" t="str">
        <f>IF('2006'!$I22&gt;0,'2006'!$I22,"")</f>
        <v/>
      </c>
      <c r="C26" s="35">
        <f>IF('2007'!$I22&gt;0,'2007'!$I22,"")</f>
        <v>10.3</v>
      </c>
      <c r="D26" s="35">
        <f>IF('2008'!$I22&gt;0,'2008'!$I22,"")</f>
        <v>37.393999999999998</v>
      </c>
      <c r="E26" s="66">
        <f>IF('2009'!$I22&gt;0,'2009'!$I22,"")</f>
        <v>42.3</v>
      </c>
      <c r="F26" s="66">
        <f>IF('2010'!$I22&gt;0,'2010'!$I22,"")</f>
        <v>48.3</v>
      </c>
      <c r="G26" s="66">
        <f>IF('2011'!$I22&gt;0,'2011'!$I22,"")</f>
        <v>38.4</v>
      </c>
      <c r="H26" s="66">
        <f>IF('2012'!$I22&gt;0,'2012'!$I22,"")</f>
        <v>48.5</v>
      </c>
      <c r="I26" s="66">
        <f>IF('2013'!$I22&gt;0,'2013'!$I22,"")</f>
        <v>8.3000000000000007</v>
      </c>
      <c r="J26" s="66">
        <f>IF('2014'!$I22&gt;0,'2014'!$I22,"")</f>
        <v>274.10000000000002</v>
      </c>
      <c r="K26" s="66">
        <f>IF('2015'!$I22&gt;0,'2015'!$I22,"")</f>
        <v>286.89999999999998</v>
      </c>
      <c r="L26" s="66">
        <f>IF('2016'!$I24&gt;0,'2016'!$I24,"")</f>
        <v>55.7</v>
      </c>
      <c r="M26" s="66">
        <f>IF('2017'!$I24&gt;0,'2017'!$I24,"")</f>
        <v>51.8</v>
      </c>
      <c r="N26" s="66">
        <f>IF('2018'!$F26&gt;0,'2018'!$F26,"")</f>
        <v>20</v>
      </c>
    </row>
    <row r="27" spans="1:14" x14ac:dyDescent="0.3">
      <c r="A27" s="13" t="s">
        <v>37</v>
      </c>
      <c r="B27" s="35">
        <f>IF('2006'!$I23&gt;0,'2006'!$I23,"")</f>
        <v>14.438000000000001</v>
      </c>
      <c r="C27" s="35">
        <f>IF('2007'!$I23&gt;0,'2007'!$I23,"")</f>
        <v>15.537000000000001</v>
      </c>
      <c r="D27" s="35">
        <f>IF('2008'!$I23&gt;0,'2008'!$I23,"")</f>
        <v>11.37</v>
      </c>
      <c r="E27" s="66">
        <f>IF('2009'!$I23&gt;0,'2009'!$I23,"")</f>
        <v>13.7</v>
      </c>
      <c r="F27" s="66">
        <f>IF('2010'!$I23&gt;0,'2010'!$I23,"")</f>
        <v>13.3</v>
      </c>
      <c r="G27" s="66">
        <f>IF('2011'!$I23&gt;0,'2011'!$I23,"")</f>
        <v>13.4</v>
      </c>
      <c r="H27" s="66">
        <f>IF('2012'!$I23&gt;0,'2012'!$I23,"")</f>
        <v>12</v>
      </c>
      <c r="I27" s="66">
        <f>IF('2013'!$I23&gt;0,'2013'!$I23,"")</f>
        <v>53.5</v>
      </c>
      <c r="J27" s="66">
        <f>IF('2014'!$I23&gt;0,'2014'!$I23,"")</f>
        <v>46.6</v>
      </c>
      <c r="K27" s="66">
        <f>IF('2015'!$I23&gt;0,'2015'!$I23,"")</f>
        <v>50.6</v>
      </c>
      <c r="L27" s="66">
        <f>IF('2016'!$I25&gt;0,'2016'!$I25,"")</f>
        <v>12.5</v>
      </c>
      <c r="M27" s="66">
        <f>IF('2017'!$I25&gt;0,'2017'!$I25,"")</f>
        <v>7.1</v>
      </c>
      <c r="N27" s="66">
        <f>IF('2018'!$F27&gt;0,'2018'!$F27,"")</f>
        <v>6.6</v>
      </c>
    </row>
    <row r="28" spans="1:14" x14ac:dyDescent="0.3">
      <c r="A28" s="13" t="s">
        <v>33</v>
      </c>
      <c r="B28" s="35" t="str">
        <f>IF('2006'!$I24&gt;0,'2006'!$I24,"")</f>
        <v/>
      </c>
      <c r="C28" s="35" t="str">
        <f>IF('2007'!$I24&gt;0,'2007'!$I24,"")</f>
        <v/>
      </c>
      <c r="D28" s="35" t="str">
        <f>IF('2008'!$I24&gt;0,'2008'!$I24,"")</f>
        <v/>
      </c>
      <c r="E28" s="66">
        <f>IF('2009'!$I24&gt;0,'2009'!$I24,"")</f>
        <v>92.7</v>
      </c>
      <c r="F28" s="66">
        <f>IF('2010'!$I24&gt;0,'2010'!$I24,"")</f>
        <v>255.4</v>
      </c>
      <c r="G28" s="66">
        <f>IF('2011'!$I24&gt;0,'2011'!$I24,"")</f>
        <v>256.5</v>
      </c>
      <c r="H28" s="66">
        <f>IF('2012'!$I24&gt;0,'2012'!$I24,"")</f>
        <v>249.3</v>
      </c>
      <c r="I28" s="66">
        <f>IF('2013'!$I24&gt;0,'2013'!$I24,"")</f>
        <v>9.6</v>
      </c>
      <c r="J28" s="66">
        <f>IF('2014'!$I24&gt;0,'2014'!$I24,"")</f>
        <v>9.3000000000000007</v>
      </c>
      <c r="K28" s="66">
        <f>IF('2015'!$I24&gt;0,'2015'!$I24,"")</f>
        <v>13.6</v>
      </c>
      <c r="L28" s="66">
        <f>IF('2016'!$I26&gt;0,'2016'!$I26,"")</f>
        <v>264.8</v>
      </c>
      <c r="M28" s="66">
        <f>IF('2017'!$I26&gt;0,'2017'!$I26,"")</f>
        <v>272.10000000000002</v>
      </c>
      <c r="N28" s="66">
        <f>IF('2018'!$F28&gt;0,'2018'!$F28,"")</f>
        <v>126</v>
      </c>
    </row>
    <row r="29" spans="1:14" x14ac:dyDescent="0.3">
      <c r="A29" s="13" t="s">
        <v>66</v>
      </c>
      <c r="B29" s="35">
        <f>SUM(B5:B28)</f>
        <v>518.42700000000002</v>
      </c>
      <c r="C29" s="35">
        <f t="shared" ref="C29:L29" si="0">SUM(C5:C28)</f>
        <v>800.18100000000004</v>
      </c>
      <c r="D29" s="35">
        <f t="shared" si="0"/>
        <v>1282.325</v>
      </c>
      <c r="E29" s="35">
        <f t="shared" si="0"/>
        <v>2108.3000000000002</v>
      </c>
      <c r="F29" s="35">
        <f t="shared" si="0"/>
        <v>2532.8000000000002</v>
      </c>
      <c r="G29" s="35">
        <f t="shared" si="0"/>
        <v>2780.6000000000004</v>
      </c>
      <c r="H29" s="35">
        <f t="shared" si="0"/>
        <v>3060.2</v>
      </c>
      <c r="I29" s="35">
        <f t="shared" si="0"/>
        <v>3285.7000000000003</v>
      </c>
      <c r="J29" s="35">
        <f t="shared" si="0"/>
        <v>3983.4</v>
      </c>
      <c r="K29" s="35">
        <f t="shared" si="0"/>
        <v>4006.5000000000005</v>
      </c>
      <c r="L29" s="35">
        <f t="shared" si="0"/>
        <v>3943.3</v>
      </c>
      <c r="M29" s="35">
        <f t="shared" ref="M29:N29" si="1">SUM(M5:M28)</f>
        <v>4218.8000000000011</v>
      </c>
      <c r="N29" s="35">
        <f t="shared" si="1"/>
        <v>1621.3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BC392-6D1C-4DE0-8005-9A7FCE4BC0E6}">
  <dimension ref="A1:L35"/>
  <sheetViews>
    <sheetView workbookViewId="0">
      <pane xSplit="1" ySplit="4" topLeftCell="B20" activePane="bottomRight" state="frozen"/>
      <selection pane="topRight" activeCell="B1" sqref="B1"/>
      <selection pane="bottomLeft" activeCell="A5" sqref="A5"/>
      <selection pane="bottomRight" activeCell="J27" sqref="J27"/>
    </sheetView>
  </sheetViews>
  <sheetFormatPr defaultRowHeight="14.4" x14ac:dyDescent="0.3"/>
  <cols>
    <col min="1" max="1" width="29.332031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2" x14ac:dyDescent="0.3">
      <c r="A1" t="s">
        <v>236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237</v>
      </c>
      <c r="H3" s="9"/>
      <c r="I3" s="9" t="s">
        <v>238</v>
      </c>
      <c r="J3" s="9" t="s">
        <v>64</v>
      </c>
      <c r="K3" s="74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43" t="s">
        <v>48</v>
      </c>
      <c r="F4" s="43" t="s">
        <v>50</v>
      </c>
      <c r="G4" s="43" t="s">
        <v>52</v>
      </c>
      <c r="H4" s="43" t="s">
        <v>53</v>
      </c>
      <c r="I4" s="43" t="s">
        <v>234</v>
      </c>
      <c r="J4" s="43" t="s">
        <v>65</v>
      </c>
      <c r="K4" s="81" t="s">
        <v>94</v>
      </c>
    </row>
    <row r="5" spans="1:12" x14ac:dyDescent="0.3">
      <c r="A5" s="7" t="s">
        <v>24</v>
      </c>
      <c r="B5" s="8" t="s">
        <v>22</v>
      </c>
      <c r="C5" s="20" t="s">
        <v>25</v>
      </c>
      <c r="D5" s="23">
        <v>39714</v>
      </c>
      <c r="E5" s="82">
        <v>97.5</v>
      </c>
      <c r="F5" s="82">
        <v>97.5</v>
      </c>
      <c r="G5" s="83">
        <v>97.5</v>
      </c>
      <c r="H5" s="83">
        <v>97.5</v>
      </c>
      <c r="I5" s="88">
        <v>162.5</v>
      </c>
      <c r="J5" s="28">
        <f t="shared" ref="J5:J26" si="0">(I5*1000)/(8760*E5)</f>
        <v>0.19025875190258751</v>
      </c>
      <c r="K5" s="22">
        <f>E5*8760/1000</f>
        <v>854.1</v>
      </c>
      <c r="L5" s="3">
        <f>E5*8760/1000</f>
        <v>854.1</v>
      </c>
    </row>
    <row r="6" spans="1:12" x14ac:dyDescent="0.3">
      <c r="A6" s="7" t="s">
        <v>182</v>
      </c>
      <c r="B6" s="8" t="s">
        <v>8</v>
      </c>
      <c r="C6" s="20" t="s">
        <v>183</v>
      </c>
      <c r="D6" s="23">
        <v>43344</v>
      </c>
      <c r="E6" s="82">
        <v>78.400000000000006</v>
      </c>
      <c r="F6" s="82">
        <v>78.400000000000006</v>
      </c>
      <c r="G6" s="83">
        <v>78.400000000000006</v>
      </c>
      <c r="H6" s="83">
        <v>78.400000000000006</v>
      </c>
      <c r="I6" s="88">
        <v>233.3</v>
      </c>
      <c r="J6" s="28">
        <f t="shared" si="0"/>
        <v>0.33969923585872708</v>
      </c>
      <c r="K6" s="22">
        <f>E6*8760/1000</f>
        <v>686.78399999999999</v>
      </c>
      <c r="L6" s="3">
        <f>E6*8760/1000</f>
        <v>686.78399999999999</v>
      </c>
    </row>
    <row r="7" spans="1:12" x14ac:dyDescent="0.3">
      <c r="A7" s="7" t="s">
        <v>26</v>
      </c>
      <c r="B7" s="8" t="s">
        <v>8</v>
      </c>
      <c r="C7" s="20" t="s">
        <v>27</v>
      </c>
      <c r="D7" s="23">
        <v>39527</v>
      </c>
      <c r="E7" s="82">
        <v>100.5</v>
      </c>
      <c r="F7" s="82">
        <v>100.5</v>
      </c>
      <c r="G7" s="83">
        <v>100.5</v>
      </c>
      <c r="H7" s="83">
        <v>100.5</v>
      </c>
      <c r="I7" s="88">
        <v>175.5</v>
      </c>
      <c r="J7" s="28">
        <f t="shared" si="0"/>
        <v>0.19934573706808423</v>
      </c>
      <c r="K7" s="22">
        <f t="shared" ref="K7:K30" si="1">E7*8760/1000</f>
        <v>880.38</v>
      </c>
      <c r="L7" s="3">
        <f t="shared" ref="L7:L30" si="2">E7*8760/1000</f>
        <v>880.38</v>
      </c>
    </row>
    <row r="8" spans="1:12" x14ac:dyDescent="0.3">
      <c r="A8" s="7" t="s">
        <v>0</v>
      </c>
      <c r="B8" s="8" t="s">
        <v>1</v>
      </c>
      <c r="C8" s="20" t="s">
        <v>2</v>
      </c>
      <c r="D8" s="23">
        <v>39787</v>
      </c>
      <c r="E8" s="82">
        <v>125</v>
      </c>
      <c r="F8" s="82">
        <v>125</v>
      </c>
      <c r="G8" s="83">
        <v>125</v>
      </c>
      <c r="H8" s="83">
        <v>125</v>
      </c>
      <c r="I8" s="88">
        <v>162.4</v>
      </c>
      <c r="J8" s="28">
        <f t="shared" si="0"/>
        <v>0.14831050228310502</v>
      </c>
      <c r="K8" s="22">
        <f t="shared" si="1"/>
        <v>1095</v>
      </c>
      <c r="L8" s="3">
        <f t="shared" si="2"/>
        <v>1095</v>
      </c>
    </row>
    <row r="9" spans="1:12" x14ac:dyDescent="0.3">
      <c r="A9" s="7" t="s">
        <v>239</v>
      </c>
      <c r="B9" s="8" t="s">
        <v>8</v>
      </c>
      <c r="C9" s="20" t="s">
        <v>240</v>
      </c>
      <c r="D9" s="19">
        <v>44287</v>
      </c>
      <c r="E9" s="82">
        <v>126</v>
      </c>
      <c r="F9" s="82">
        <v>126</v>
      </c>
      <c r="G9" s="83">
        <v>0</v>
      </c>
      <c r="H9" s="83">
        <v>0</v>
      </c>
      <c r="I9" s="88">
        <v>126.9</v>
      </c>
      <c r="J9" s="91">
        <f>(I9*1000)/(8760*E9*0.75)</f>
        <v>0.15329419439008479</v>
      </c>
      <c r="K9" s="89">
        <f>0.75*E9*8760/1000</f>
        <v>827.82</v>
      </c>
      <c r="L9" s="90">
        <f>0.75*E9*8760/1000</f>
        <v>827.82</v>
      </c>
    </row>
    <row r="10" spans="1:12" x14ac:dyDescent="0.3">
      <c r="A10" s="7" t="s">
        <v>28</v>
      </c>
      <c r="B10" s="8" t="s">
        <v>22</v>
      </c>
      <c r="C10" s="20" t="s">
        <v>29</v>
      </c>
      <c r="D10" s="23">
        <v>39728</v>
      </c>
      <c r="E10" s="82">
        <v>106.5</v>
      </c>
      <c r="F10" s="82">
        <v>106.5</v>
      </c>
      <c r="G10" s="83">
        <v>106.5</v>
      </c>
      <c r="H10" s="83">
        <v>106.5</v>
      </c>
      <c r="I10" s="88">
        <v>175.3</v>
      </c>
      <c r="J10" s="28">
        <f t="shared" si="0"/>
        <v>0.18790061525928783</v>
      </c>
      <c r="K10" s="22">
        <f t="shared" si="1"/>
        <v>932.94</v>
      </c>
      <c r="L10" s="3">
        <f t="shared" si="2"/>
        <v>932.94</v>
      </c>
    </row>
    <row r="11" spans="1:12" x14ac:dyDescent="0.3">
      <c r="A11" s="7" t="s">
        <v>30</v>
      </c>
      <c r="B11" s="8" t="s">
        <v>22</v>
      </c>
      <c r="C11" s="20" t="s">
        <v>31</v>
      </c>
      <c r="D11" s="23">
        <v>39547</v>
      </c>
      <c r="E11" s="82">
        <v>100.5</v>
      </c>
      <c r="F11" s="82">
        <v>100.5</v>
      </c>
      <c r="G11" s="83">
        <v>100.5</v>
      </c>
      <c r="H11" s="83">
        <v>100.5</v>
      </c>
      <c r="I11" s="88">
        <v>151.4</v>
      </c>
      <c r="J11" s="28">
        <f t="shared" si="0"/>
        <v>0.17197119425702537</v>
      </c>
      <c r="K11" s="22">
        <f t="shared" si="1"/>
        <v>880.38</v>
      </c>
      <c r="L11" s="3">
        <f t="shared" si="2"/>
        <v>880.38</v>
      </c>
    </row>
    <row r="12" spans="1:12" x14ac:dyDescent="0.3">
      <c r="A12" s="7" t="s">
        <v>180</v>
      </c>
      <c r="B12" s="8" t="s">
        <v>12</v>
      </c>
      <c r="C12" s="20" t="s">
        <v>181</v>
      </c>
      <c r="D12" s="23">
        <v>43435</v>
      </c>
      <c r="E12" s="82">
        <v>79.900000000000006</v>
      </c>
      <c r="F12" s="82">
        <v>79.900000000000006</v>
      </c>
      <c r="G12" s="83">
        <v>0</v>
      </c>
      <c r="H12" s="83">
        <v>0</v>
      </c>
      <c r="I12" s="88">
        <v>239.8</v>
      </c>
      <c r="J12" s="28">
        <f t="shared" si="0"/>
        <v>0.3426086260794029</v>
      </c>
      <c r="K12" s="22">
        <f t="shared" si="1"/>
        <v>699.92399999999998</v>
      </c>
      <c r="L12" s="3">
        <f t="shared" si="2"/>
        <v>699.92399999999998</v>
      </c>
    </row>
    <row r="13" spans="1:12" x14ac:dyDescent="0.3">
      <c r="A13" s="7" t="s">
        <v>32</v>
      </c>
      <c r="B13" s="8" t="s">
        <v>22</v>
      </c>
      <c r="C13" s="20" t="s">
        <v>23</v>
      </c>
      <c r="D13" s="23">
        <v>39538</v>
      </c>
      <c r="E13" s="82">
        <v>81</v>
      </c>
      <c r="F13" s="82">
        <v>81</v>
      </c>
      <c r="G13" s="83">
        <v>81</v>
      </c>
      <c r="H13" s="83">
        <v>81</v>
      </c>
      <c r="I13" s="88">
        <v>144.9</v>
      </c>
      <c r="J13" s="28">
        <f t="shared" si="0"/>
        <v>0.20421106037544393</v>
      </c>
      <c r="K13" s="22">
        <f t="shared" si="1"/>
        <v>709.56</v>
      </c>
      <c r="L13" s="3">
        <f t="shared" si="2"/>
        <v>709.56</v>
      </c>
    </row>
    <row r="14" spans="1:12" x14ac:dyDescent="0.3">
      <c r="A14" s="7" t="s">
        <v>10</v>
      </c>
      <c r="B14" s="8" t="s">
        <v>8</v>
      </c>
      <c r="C14" s="3" t="s">
        <v>9</v>
      </c>
      <c r="D14" s="4">
        <v>40940</v>
      </c>
      <c r="E14" s="82">
        <v>15</v>
      </c>
      <c r="F14" s="82">
        <v>0</v>
      </c>
      <c r="G14" s="83">
        <v>0</v>
      </c>
      <c r="H14" s="83">
        <v>0</v>
      </c>
      <c r="I14" s="88">
        <v>26.1</v>
      </c>
      <c r="J14" s="28">
        <f t="shared" si="0"/>
        <v>0.19863013698630136</v>
      </c>
      <c r="K14" s="21">
        <f t="shared" si="1"/>
        <v>131.4</v>
      </c>
      <c r="L14" s="3">
        <f t="shared" si="2"/>
        <v>131.4</v>
      </c>
    </row>
    <row r="15" spans="1:12" x14ac:dyDescent="0.3">
      <c r="A15" s="7" t="s">
        <v>5</v>
      </c>
      <c r="B15" s="8" t="s">
        <v>1</v>
      </c>
      <c r="C15" s="3" t="s">
        <v>6</v>
      </c>
      <c r="D15" s="4">
        <v>37226</v>
      </c>
      <c r="E15" s="82">
        <v>30</v>
      </c>
      <c r="F15" s="82">
        <v>0</v>
      </c>
      <c r="G15" s="83">
        <v>0</v>
      </c>
      <c r="H15" s="83">
        <v>0</v>
      </c>
      <c r="I15" s="88">
        <v>73.2</v>
      </c>
      <c r="J15" s="28">
        <f t="shared" si="0"/>
        <v>0.27853881278538811</v>
      </c>
      <c r="K15" s="21">
        <f t="shared" si="1"/>
        <v>262.8</v>
      </c>
      <c r="L15" s="3">
        <f t="shared" si="2"/>
        <v>262.8</v>
      </c>
    </row>
    <row r="16" spans="1:12" x14ac:dyDescent="0.3">
      <c r="A16" s="7" t="s">
        <v>15</v>
      </c>
      <c r="B16" s="8" t="s">
        <v>12</v>
      </c>
      <c r="C16" s="3" t="s">
        <v>16</v>
      </c>
      <c r="D16" s="4">
        <v>40575</v>
      </c>
      <c r="E16" s="82">
        <v>74</v>
      </c>
      <c r="F16" s="82">
        <v>74</v>
      </c>
      <c r="G16" s="83">
        <v>74</v>
      </c>
      <c r="H16" s="83">
        <v>74</v>
      </c>
      <c r="I16" s="88">
        <v>159.1</v>
      </c>
      <c r="J16" s="28">
        <f t="shared" si="0"/>
        <v>0.2454337899543379</v>
      </c>
      <c r="K16" s="21">
        <f t="shared" si="1"/>
        <v>648.24</v>
      </c>
      <c r="L16" s="3">
        <f t="shared" si="2"/>
        <v>648.24</v>
      </c>
    </row>
    <row r="17" spans="1:12" x14ac:dyDescent="0.3">
      <c r="A17" s="7" t="s">
        <v>73</v>
      </c>
      <c r="B17" s="8" t="s">
        <v>1</v>
      </c>
      <c r="C17" s="3" t="s">
        <v>74</v>
      </c>
      <c r="D17" s="4">
        <v>39845</v>
      </c>
      <c r="E17" s="82">
        <v>118.10000000000001</v>
      </c>
      <c r="F17" s="82">
        <v>112.5</v>
      </c>
      <c r="G17" s="83">
        <v>112.5</v>
      </c>
      <c r="H17" s="83">
        <v>118.10000000000001</v>
      </c>
      <c r="I17" s="88">
        <v>222.2</v>
      </c>
      <c r="J17" s="28">
        <f t="shared" si="0"/>
        <v>0.21477812704193874</v>
      </c>
      <c r="K17" s="21">
        <f t="shared" si="1"/>
        <v>1034.556</v>
      </c>
      <c r="L17" s="3">
        <f t="shared" si="2"/>
        <v>1034.556</v>
      </c>
    </row>
    <row r="18" spans="1:12" x14ac:dyDescent="0.3">
      <c r="A18" s="7" t="s">
        <v>17</v>
      </c>
      <c r="B18" s="8" t="s">
        <v>1</v>
      </c>
      <c r="C18" s="3" t="s">
        <v>18</v>
      </c>
      <c r="D18" s="4">
        <v>40878</v>
      </c>
      <c r="E18" s="82">
        <v>55.400000000000006</v>
      </c>
      <c r="F18" s="82">
        <v>57.400000000000006</v>
      </c>
      <c r="G18" s="83">
        <v>55.400000000000006</v>
      </c>
      <c r="H18" s="83">
        <v>55.400000000000006</v>
      </c>
      <c r="I18" s="88">
        <v>109.3</v>
      </c>
      <c r="J18" s="28">
        <f t="shared" si="0"/>
        <v>0.22521965613306297</v>
      </c>
      <c r="K18" s="21">
        <f t="shared" si="1"/>
        <v>485.30400000000003</v>
      </c>
      <c r="L18" s="3">
        <f t="shared" si="2"/>
        <v>485.30400000000003</v>
      </c>
    </row>
    <row r="19" spans="1:12" x14ac:dyDescent="0.3">
      <c r="A19" s="7" t="s">
        <v>171</v>
      </c>
      <c r="B19" s="8" t="s">
        <v>22</v>
      </c>
      <c r="C19" s="3" t="s">
        <v>29</v>
      </c>
      <c r="D19" s="4">
        <v>42705</v>
      </c>
      <c r="E19" s="82">
        <v>77.7</v>
      </c>
      <c r="F19" s="82">
        <v>77.7</v>
      </c>
      <c r="G19" s="83">
        <v>77.7</v>
      </c>
      <c r="H19" s="83">
        <v>77.7</v>
      </c>
      <c r="I19" s="88">
        <v>200.9</v>
      </c>
      <c r="J19" s="28">
        <f t="shared" si="0"/>
        <v>0.29515817187050064</v>
      </c>
      <c r="K19" s="21">
        <f t="shared" si="1"/>
        <v>680.65200000000004</v>
      </c>
      <c r="L19" s="3">
        <f t="shared" si="2"/>
        <v>680.65200000000004</v>
      </c>
    </row>
    <row r="20" spans="1:12" x14ac:dyDescent="0.3">
      <c r="A20" s="7" t="s">
        <v>19</v>
      </c>
      <c r="B20" s="8" t="s">
        <v>12</v>
      </c>
      <c r="C20" s="3" t="s">
        <v>20</v>
      </c>
      <c r="D20" s="4">
        <v>36770</v>
      </c>
      <c r="E20" s="82">
        <v>11.600000000000001</v>
      </c>
      <c r="F20" s="82">
        <v>11.5</v>
      </c>
      <c r="G20" s="83">
        <v>11.5</v>
      </c>
      <c r="H20" s="83">
        <v>11.600000000000001</v>
      </c>
      <c r="I20" s="88">
        <v>10.3</v>
      </c>
      <c r="J20" s="28">
        <f t="shared" si="0"/>
        <v>0.10136199023775781</v>
      </c>
      <c r="K20" s="21">
        <f t="shared" si="1"/>
        <v>101.61600000000001</v>
      </c>
      <c r="L20" s="3">
        <f t="shared" si="2"/>
        <v>101.61600000000001</v>
      </c>
    </row>
    <row r="21" spans="1:12" x14ac:dyDescent="0.3">
      <c r="A21" s="7" t="s">
        <v>14</v>
      </c>
      <c r="B21" s="8" t="s">
        <v>12</v>
      </c>
      <c r="C21" s="3" t="s">
        <v>13</v>
      </c>
      <c r="D21" s="4">
        <v>38718</v>
      </c>
      <c r="E21" s="82">
        <v>231</v>
      </c>
      <c r="F21" s="82">
        <v>231</v>
      </c>
      <c r="G21" s="83">
        <v>231</v>
      </c>
      <c r="H21" s="83">
        <v>231</v>
      </c>
      <c r="I21" s="88">
        <v>454.2</v>
      </c>
      <c r="J21" s="28">
        <f t="shared" si="0"/>
        <v>0.22445590938741625</v>
      </c>
      <c r="K21" s="21">
        <f t="shared" si="1"/>
        <v>2023.56</v>
      </c>
      <c r="L21" s="3">
        <f t="shared" si="2"/>
        <v>2023.56</v>
      </c>
    </row>
    <row r="22" spans="1:12" x14ac:dyDescent="0.3">
      <c r="A22" s="7" t="s">
        <v>11</v>
      </c>
      <c r="B22" s="8" t="s">
        <v>12</v>
      </c>
      <c r="C22" s="3" t="s">
        <v>13</v>
      </c>
      <c r="D22" s="4">
        <v>39417</v>
      </c>
      <c r="E22" s="82">
        <v>90.7</v>
      </c>
      <c r="F22" s="82">
        <v>90.7</v>
      </c>
      <c r="G22" s="83">
        <v>90.800000000000011</v>
      </c>
      <c r="H22" s="83">
        <v>90.800000000000011</v>
      </c>
      <c r="I22" s="88">
        <v>168.3</v>
      </c>
      <c r="J22" s="28">
        <f t="shared" si="0"/>
        <v>0.21182280889882346</v>
      </c>
      <c r="K22" s="21">
        <f t="shared" si="1"/>
        <v>794.53200000000004</v>
      </c>
      <c r="L22" s="3">
        <f t="shared" si="2"/>
        <v>794.53200000000004</v>
      </c>
    </row>
    <row r="23" spans="1:12" x14ac:dyDescent="0.3">
      <c r="A23" s="7" t="s">
        <v>21</v>
      </c>
      <c r="B23" s="8" t="s">
        <v>22</v>
      </c>
      <c r="C23" s="3" t="s">
        <v>23</v>
      </c>
      <c r="D23" s="4">
        <v>41091</v>
      </c>
      <c r="E23" s="82">
        <v>215.20000000000002</v>
      </c>
      <c r="F23" s="82">
        <v>215.20000000000002</v>
      </c>
      <c r="G23" s="83">
        <v>215.20000000000002</v>
      </c>
      <c r="H23" s="83">
        <v>215.20000000000002</v>
      </c>
      <c r="I23" s="88">
        <v>447.6</v>
      </c>
      <c r="J23" s="28">
        <f t="shared" si="0"/>
        <v>0.23743443499516217</v>
      </c>
      <c r="K23" s="21">
        <f t="shared" si="1"/>
        <v>1885.1520000000003</v>
      </c>
      <c r="L23" s="3">
        <f t="shared" si="2"/>
        <v>1885.1520000000003</v>
      </c>
    </row>
    <row r="24" spans="1:12" x14ac:dyDescent="0.3">
      <c r="A24" s="7" t="s">
        <v>150</v>
      </c>
      <c r="B24" s="8" t="s">
        <v>1</v>
      </c>
      <c r="C24" s="3" t="s">
        <v>151</v>
      </c>
      <c r="D24" s="4">
        <v>41974</v>
      </c>
      <c r="E24" s="82">
        <v>16.2</v>
      </c>
      <c r="F24" s="82">
        <v>0</v>
      </c>
      <c r="G24" s="83">
        <v>0</v>
      </c>
      <c r="H24" s="83">
        <v>0</v>
      </c>
      <c r="I24" s="88">
        <v>48.8</v>
      </c>
      <c r="J24" s="28">
        <f t="shared" si="0"/>
        <v>0.34387507751282487</v>
      </c>
      <c r="K24" s="21">
        <f t="shared" si="1"/>
        <v>141.91200000000001</v>
      </c>
      <c r="L24" s="3">
        <f t="shared" si="2"/>
        <v>141.91200000000001</v>
      </c>
    </row>
    <row r="25" spans="1:12" x14ac:dyDescent="0.3">
      <c r="A25" s="7" t="s">
        <v>35</v>
      </c>
      <c r="B25" s="8" t="s">
        <v>12</v>
      </c>
      <c r="C25" s="3" t="s">
        <v>36</v>
      </c>
      <c r="D25" s="4">
        <v>39314</v>
      </c>
      <c r="E25" s="82">
        <v>34.5</v>
      </c>
      <c r="F25" s="82">
        <v>34.5</v>
      </c>
      <c r="G25" s="83">
        <v>34.5</v>
      </c>
      <c r="H25" s="83">
        <v>34.5</v>
      </c>
      <c r="I25" s="88">
        <v>79.8</v>
      </c>
      <c r="J25" s="28">
        <f t="shared" si="0"/>
        <v>0.2640460591621997</v>
      </c>
      <c r="K25" s="21">
        <f t="shared" si="1"/>
        <v>302.22000000000003</v>
      </c>
      <c r="L25" s="3">
        <f t="shared" si="2"/>
        <v>302.22000000000003</v>
      </c>
    </row>
    <row r="26" spans="1:12" x14ac:dyDescent="0.3">
      <c r="A26" s="7" t="s">
        <v>144</v>
      </c>
      <c r="B26" s="8" t="s">
        <v>1</v>
      </c>
      <c r="C26" s="3" t="s">
        <v>145</v>
      </c>
      <c r="D26" s="4">
        <v>41609</v>
      </c>
      <c r="E26" s="82">
        <v>93.9</v>
      </c>
      <c r="F26" s="82">
        <v>94.4</v>
      </c>
      <c r="G26" s="83">
        <v>93.9</v>
      </c>
      <c r="H26" s="83">
        <v>93.9</v>
      </c>
      <c r="I26" s="88">
        <v>245.8</v>
      </c>
      <c r="J26" s="28">
        <f t="shared" si="0"/>
        <v>0.29882173302016624</v>
      </c>
      <c r="K26" s="21">
        <f t="shared" si="1"/>
        <v>822.56399999999996</v>
      </c>
      <c r="L26" s="3">
        <f t="shared" si="2"/>
        <v>822.56399999999996</v>
      </c>
    </row>
    <row r="27" spans="1:12" x14ac:dyDescent="0.3">
      <c r="A27" s="7" t="s">
        <v>241</v>
      </c>
      <c r="B27" s="8" t="s">
        <v>12</v>
      </c>
      <c r="C27" s="3" t="s">
        <v>242</v>
      </c>
      <c r="D27" s="19">
        <v>44438</v>
      </c>
      <c r="E27" s="82">
        <v>79.7</v>
      </c>
      <c r="F27" s="82">
        <v>79.7</v>
      </c>
      <c r="G27" s="83">
        <v>0</v>
      </c>
      <c r="H27" s="83">
        <v>0</v>
      </c>
      <c r="I27" s="88">
        <v>29.5</v>
      </c>
      <c r="J27" s="91">
        <f>(I27*1000)/(8760*E27*0.34)</f>
        <v>0.12427411280078969</v>
      </c>
      <c r="K27" s="89">
        <f>0.34*E27*8760/1000</f>
        <v>237.37848000000002</v>
      </c>
      <c r="L27" s="90">
        <f>0.34*E27*8760/1000</f>
        <v>237.37848000000002</v>
      </c>
    </row>
    <row r="28" spans="1:12" x14ac:dyDescent="0.3">
      <c r="A28" s="7" t="s">
        <v>7</v>
      </c>
      <c r="B28" s="8" t="s">
        <v>8</v>
      </c>
      <c r="C28" s="3" t="s">
        <v>9</v>
      </c>
      <c r="D28" s="4">
        <v>39105</v>
      </c>
      <c r="E28" s="82">
        <v>20</v>
      </c>
      <c r="F28" s="82">
        <v>0</v>
      </c>
      <c r="G28" s="83">
        <v>0</v>
      </c>
      <c r="H28" s="83">
        <v>0</v>
      </c>
      <c r="I28" s="88">
        <v>34</v>
      </c>
      <c r="J28" s="28">
        <f>(I28*1000)/(8760*E28)</f>
        <v>0.19406392694063926</v>
      </c>
      <c r="K28" s="21">
        <f t="shared" si="1"/>
        <v>175.2</v>
      </c>
      <c r="L28" s="3">
        <f t="shared" si="2"/>
        <v>175.2</v>
      </c>
    </row>
    <row r="29" spans="1:12" x14ac:dyDescent="0.3">
      <c r="A29" s="7" t="s">
        <v>37</v>
      </c>
      <c r="B29" s="8" t="s">
        <v>38</v>
      </c>
      <c r="C29" s="3" t="s">
        <v>34</v>
      </c>
      <c r="D29" s="4">
        <v>36800</v>
      </c>
      <c r="E29" s="82">
        <v>6.6000000000000005</v>
      </c>
      <c r="F29" s="82">
        <v>0</v>
      </c>
      <c r="G29" s="83">
        <v>0</v>
      </c>
      <c r="H29" s="83">
        <v>0</v>
      </c>
      <c r="I29" s="88">
        <v>1.7</v>
      </c>
      <c r="J29" s="28">
        <f>(I29*1000)/(8760*E29)</f>
        <v>2.9403625294036249E-2</v>
      </c>
      <c r="K29" s="21">
        <f t="shared" si="1"/>
        <v>57.81600000000001</v>
      </c>
      <c r="L29" s="3">
        <f t="shared" si="2"/>
        <v>57.81600000000001</v>
      </c>
    </row>
    <row r="30" spans="1:12" x14ac:dyDescent="0.3">
      <c r="A30" s="7" t="s">
        <v>33</v>
      </c>
      <c r="B30" s="8" t="s">
        <v>1</v>
      </c>
      <c r="C30" s="3" t="s">
        <v>34</v>
      </c>
      <c r="D30" s="4">
        <v>39793</v>
      </c>
      <c r="E30" s="82">
        <v>126</v>
      </c>
      <c r="F30" s="82">
        <v>126</v>
      </c>
      <c r="G30" s="83">
        <v>126</v>
      </c>
      <c r="H30" s="83">
        <v>126</v>
      </c>
      <c r="I30" s="88">
        <v>227.9</v>
      </c>
      <c r="J30" s="28">
        <f>(I30*1000)/(8760*E30)</f>
        <v>0.20647604551714141</v>
      </c>
      <c r="K30" s="21">
        <f t="shared" si="1"/>
        <v>1103.76</v>
      </c>
      <c r="L30" s="3">
        <f t="shared" si="2"/>
        <v>1103.76</v>
      </c>
    </row>
    <row r="31" spans="1:12" x14ac:dyDescent="0.3">
      <c r="A31" s="7" t="s">
        <v>66</v>
      </c>
      <c r="B31" s="3"/>
      <c r="C31" s="3"/>
      <c r="D31" s="3"/>
      <c r="E31" s="3">
        <f>SUM(E5:E30)</f>
        <v>2190.9</v>
      </c>
      <c r="F31" s="3">
        <f>SUM(F5:F30)</f>
        <v>2099.9000000000005</v>
      </c>
      <c r="G31" s="3">
        <f>SUM(G5:G30)</f>
        <v>1811.9</v>
      </c>
      <c r="H31" s="3">
        <f>SUM(H5:H30)</f>
        <v>1817.6000000000001</v>
      </c>
      <c r="I31" s="3">
        <f>SUM(I5:I30)</f>
        <v>4110.7000000000007</v>
      </c>
      <c r="J31" s="28">
        <f>I31/K31</f>
        <v>0.22273516059327003</v>
      </c>
      <c r="K31" s="21">
        <f>SUM(K5:K30)</f>
        <v>18455.550479999994</v>
      </c>
      <c r="L31" s="3">
        <f>E31*8760/1000</f>
        <v>19192.284</v>
      </c>
    </row>
    <row r="33" spans="4:5" x14ac:dyDescent="0.3">
      <c r="D33" s="61">
        <v>44197</v>
      </c>
      <c r="E33" s="64">
        <f>E34-E9</f>
        <v>1985.2000000000003</v>
      </c>
    </row>
    <row r="34" spans="4:5" x14ac:dyDescent="0.3">
      <c r="D34" s="61">
        <v>44287</v>
      </c>
      <c r="E34" s="64">
        <f>E35-E27</f>
        <v>2111.2000000000003</v>
      </c>
    </row>
    <row r="35" spans="4:5" x14ac:dyDescent="0.3">
      <c r="D35" s="61">
        <v>44438</v>
      </c>
      <c r="E35" s="64">
        <f>E31</f>
        <v>2190.9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C2027-0F69-4038-A059-603FD82E841D}">
  <dimension ref="A1:L29"/>
  <sheetViews>
    <sheetView topLeftCell="A7" workbookViewId="0">
      <selection sqref="A1:XFD1048576"/>
    </sheetView>
  </sheetViews>
  <sheetFormatPr defaultRowHeight="14.4" x14ac:dyDescent="0.3"/>
  <cols>
    <col min="1" max="1" width="29.332031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2" x14ac:dyDescent="0.3">
      <c r="A1" t="s">
        <v>231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232</v>
      </c>
      <c r="H3" s="9"/>
      <c r="I3" s="9" t="s">
        <v>233</v>
      </c>
      <c r="J3" s="9" t="s">
        <v>64</v>
      </c>
      <c r="K3" s="74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43" t="s">
        <v>48</v>
      </c>
      <c r="F4" s="43" t="s">
        <v>50</v>
      </c>
      <c r="G4" s="43" t="s">
        <v>52</v>
      </c>
      <c r="H4" s="43" t="s">
        <v>53</v>
      </c>
      <c r="I4" s="43" t="s">
        <v>234</v>
      </c>
      <c r="J4" s="43" t="s">
        <v>65</v>
      </c>
      <c r="K4" s="81" t="s">
        <v>94</v>
      </c>
    </row>
    <row r="5" spans="1:12" x14ac:dyDescent="0.3">
      <c r="A5" s="7" t="s">
        <v>24</v>
      </c>
      <c r="B5" s="8" t="s">
        <v>22</v>
      </c>
      <c r="C5" s="20" t="s">
        <v>25</v>
      </c>
      <c r="D5" s="23">
        <v>39714</v>
      </c>
      <c r="E5" s="82">
        <v>97.5</v>
      </c>
      <c r="F5" s="82">
        <v>97.5</v>
      </c>
      <c r="G5" s="83">
        <v>97.5</v>
      </c>
      <c r="H5" s="83">
        <v>97.5</v>
      </c>
      <c r="I5" s="83">
        <v>184.60000000000002</v>
      </c>
      <c r="J5" s="28">
        <f t="shared" ref="J5:J25" si="0">(I5*1000)/(8760*E5)</f>
        <v>0.21613394216133947</v>
      </c>
      <c r="K5" s="22">
        <f>E5*8760/1000</f>
        <v>854.1</v>
      </c>
      <c r="L5" s="3">
        <f>E5*8760/1000</f>
        <v>854.1</v>
      </c>
    </row>
    <row r="6" spans="1:12" x14ac:dyDescent="0.3">
      <c r="A6" s="7" t="s">
        <v>182</v>
      </c>
      <c r="B6" s="8" t="s">
        <v>8</v>
      </c>
      <c r="C6" s="20" t="s">
        <v>183</v>
      </c>
      <c r="D6" s="23">
        <v>43344</v>
      </c>
      <c r="E6" s="82">
        <v>78.400000000000006</v>
      </c>
      <c r="F6" s="82">
        <v>78.400000000000006</v>
      </c>
      <c r="G6" s="83">
        <v>78.400000000000006</v>
      </c>
      <c r="H6" s="83">
        <v>78.400000000000006</v>
      </c>
      <c r="I6" s="83">
        <v>255.8</v>
      </c>
      <c r="J6" s="28">
        <f t="shared" si="0"/>
        <v>0.37246062808685115</v>
      </c>
      <c r="K6" s="22">
        <f>E6*8760/1000</f>
        <v>686.78399999999999</v>
      </c>
      <c r="L6" s="3">
        <f>E6*8760/1000</f>
        <v>686.78399999999999</v>
      </c>
    </row>
    <row r="7" spans="1:12" x14ac:dyDescent="0.3">
      <c r="A7" s="7" t="s">
        <v>26</v>
      </c>
      <c r="B7" s="8" t="s">
        <v>8</v>
      </c>
      <c r="C7" s="20" t="s">
        <v>27</v>
      </c>
      <c r="D7" s="23">
        <v>39527</v>
      </c>
      <c r="E7" s="82">
        <v>100.5</v>
      </c>
      <c r="F7" s="82">
        <v>100.5</v>
      </c>
      <c r="G7" s="83">
        <v>100.5</v>
      </c>
      <c r="H7" s="83">
        <v>100.5</v>
      </c>
      <c r="I7" s="83">
        <v>196.3</v>
      </c>
      <c r="J7" s="28">
        <f t="shared" si="0"/>
        <v>0.2229718984983757</v>
      </c>
      <c r="K7" s="22">
        <f t="shared" ref="K7:K28" si="1">E7*8760/1000</f>
        <v>880.38</v>
      </c>
      <c r="L7" s="3">
        <f t="shared" ref="L7:L28" si="2">E7*8760/1000</f>
        <v>880.38</v>
      </c>
    </row>
    <row r="8" spans="1:12" x14ac:dyDescent="0.3">
      <c r="A8" s="7" t="s">
        <v>0</v>
      </c>
      <c r="B8" s="8" t="s">
        <v>1</v>
      </c>
      <c r="C8" s="20" t="s">
        <v>2</v>
      </c>
      <c r="D8" s="23">
        <v>39787</v>
      </c>
      <c r="E8" s="82">
        <v>125</v>
      </c>
      <c r="F8" s="82">
        <v>125</v>
      </c>
      <c r="G8" s="83">
        <v>125</v>
      </c>
      <c r="H8" s="83">
        <v>125</v>
      </c>
      <c r="I8" s="83">
        <v>66</v>
      </c>
      <c r="J8" s="28">
        <f t="shared" si="0"/>
        <v>6.0273972602739728E-2</v>
      </c>
      <c r="K8" s="22">
        <f t="shared" si="1"/>
        <v>1095</v>
      </c>
      <c r="L8" s="3">
        <f t="shared" si="2"/>
        <v>1095</v>
      </c>
    </row>
    <row r="9" spans="1:12" x14ac:dyDescent="0.3">
      <c r="A9" s="7" t="s">
        <v>28</v>
      </c>
      <c r="B9" s="8" t="s">
        <v>22</v>
      </c>
      <c r="C9" s="20" t="s">
        <v>29</v>
      </c>
      <c r="D9" s="23">
        <v>39728</v>
      </c>
      <c r="E9" s="82">
        <v>106.5</v>
      </c>
      <c r="F9" s="82">
        <v>106.5</v>
      </c>
      <c r="G9" s="83">
        <v>106.5</v>
      </c>
      <c r="H9" s="83">
        <v>106.5</v>
      </c>
      <c r="I9" s="83">
        <v>207</v>
      </c>
      <c r="J9" s="28">
        <f t="shared" si="0"/>
        <v>0.22187922052865136</v>
      </c>
      <c r="K9" s="22">
        <f t="shared" si="1"/>
        <v>932.94</v>
      </c>
      <c r="L9" s="3">
        <f t="shared" si="2"/>
        <v>932.94</v>
      </c>
    </row>
    <row r="10" spans="1:12" x14ac:dyDescent="0.3">
      <c r="A10" s="7" t="s">
        <v>30</v>
      </c>
      <c r="B10" s="8" t="s">
        <v>22</v>
      </c>
      <c r="C10" s="20" t="s">
        <v>31</v>
      </c>
      <c r="D10" s="23">
        <v>39547</v>
      </c>
      <c r="E10" s="82">
        <v>100.5</v>
      </c>
      <c r="F10" s="82">
        <v>100.5</v>
      </c>
      <c r="G10" s="83">
        <v>100.5</v>
      </c>
      <c r="H10" s="83">
        <v>100.5</v>
      </c>
      <c r="I10" s="83">
        <v>175.9</v>
      </c>
      <c r="J10" s="28">
        <f t="shared" si="0"/>
        <v>0.19980008632635907</v>
      </c>
      <c r="K10" s="22">
        <f t="shared" si="1"/>
        <v>880.38</v>
      </c>
      <c r="L10" s="3">
        <f t="shared" si="2"/>
        <v>880.38</v>
      </c>
    </row>
    <row r="11" spans="1:12" x14ac:dyDescent="0.3">
      <c r="A11" s="7" t="s">
        <v>180</v>
      </c>
      <c r="B11" s="8" t="s">
        <v>12</v>
      </c>
      <c r="C11" s="20" t="s">
        <v>181</v>
      </c>
      <c r="D11" s="23">
        <v>43435</v>
      </c>
      <c r="E11" s="82">
        <v>79.900000000000006</v>
      </c>
      <c r="F11" s="82">
        <v>79.900000000000006</v>
      </c>
      <c r="G11" s="83">
        <v>0</v>
      </c>
      <c r="H11" s="83">
        <v>0</v>
      </c>
      <c r="I11" s="83">
        <v>274.60000000000002</v>
      </c>
      <c r="J11" s="28">
        <f t="shared" si="0"/>
        <v>0.39232830993079248</v>
      </c>
      <c r="K11" s="22">
        <f t="shared" si="1"/>
        <v>699.92399999999998</v>
      </c>
      <c r="L11" s="3">
        <f t="shared" si="2"/>
        <v>699.92399999999998</v>
      </c>
    </row>
    <row r="12" spans="1:12" x14ac:dyDescent="0.3">
      <c r="A12" s="7" t="s">
        <v>32</v>
      </c>
      <c r="B12" s="8" t="s">
        <v>22</v>
      </c>
      <c r="C12" s="20" t="s">
        <v>23</v>
      </c>
      <c r="D12" s="23">
        <v>39538</v>
      </c>
      <c r="E12" s="82">
        <v>81</v>
      </c>
      <c r="F12" s="82">
        <v>81</v>
      </c>
      <c r="G12" s="83">
        <v>81</v>
      </c>
      <c r="H12" s="83">
        <v>81</v>
      </c>
      <c r="I12" s="83">
        <v>167.20000000000002</v>
      </c>
      <c r="J12" s="28">
        <f t="shared" si="0"/>
        <v>0.23563898754157511</v>
      </c>
      <c r="K12" s="22">
        <f t="shared" si="1"/>
        <v>709.56</v>
      </c>
      <c r="L12" s="3">
        <f t="shared" si="2"/>
        <v>709.56</v>
      </c>
    </row>
    <row r="13" spans="1:12" x14ac:dyDescent="0.3">
      <c r="A13" s="7" t="s">
        <v>10</v>
      </c>
      <c r="B13" s="8" t="s">
        <v>8</v>
      </c>
      <c r="C13" s="3" t="s">
        <v>9</v>
      </c>
      <c r="D13" s="4">
        <v>40940</v>
      </c>
      <c r="E13" s="82">
        <v>15</v>
      </c>
      <c r="F13" s="82">
        <v>0</v>
      </c>
      <c r="G13" s="83">
        <v>0</v>
      </c>
      <c r="H13" s="83">
        <v>0</v>
      </c>
      <c r="I13" s="83">
        <v>9.4</v>
      </c>
      <c r="J13" s="28">
        <f t="shared" si="0"/>
        <v>7.1537290715372903E-2</v>
      </c>
      <c r="K13" s="21">
        <f t="shared" si="1"/>
        <v>131.4</v>
      </c>
      <c r="L13" s="3">
        <f t="shared" si="2"/>
        <v>131.4</v>
      </c>
    </row>
    <row r="14" spans="1:12" x14ac:dyDescent="0.3">
      <c r="A14" s="7" t="s">
        <v>5</v>
      </c>
      <c r="B14" s="8" t="s">
        <v>1</v>
      </c>
      <c r="C14" s="3" t="s">
        <v>6</v>
      </c>
      <c r="D14" s="4">
        <v>37226</v>
      </c>
      <c r="E14" s="82">
        <v>30</v>
      </c>
      <c r="F14" s="82">
        <v>0</v>
      </c>
      <c r="G14" s="83">
        <v>0</v>
      </c>
      <c r="H14" s="83">
        <v>0</v>
      </c>
      <c r="I14" s="83">
        <v>33.1</v>
      </c>
      <c r="J14" s="28">
        <f t="shared" si="0"/>
        <v>0.12595129375951294</v>
      </c>
      <c r="K14" s="21">
        <f t="shared" si="1"/>
        <v>262.8</v>
      </c>
      <c r="L14" s="3">
        <f t="shared" si="2"/>
        <v>262.8</v>
      </c>
    </row>
    <row r="15" spans="1:12" x14ac:dyDescent="0.3">
      <c r="A15" s="7" t="s">
        <v>15</v>
      </c>
      <c r="B15" s="8" t="s">
        <v>12</v>
      </c>
      <c r="C15" s="3" t="s">
        <v>16</v>
      </c>
      <c r="D15" s="4">
        <v>40575</v>
      </c>
      <c r="E15" s="82">
        <v>74</v>
      </c>
      <c r="F15" s="82">
        <v>74</v>
      </c>
      <c r="G15" s="83">
        <v>74</v>
      </c>
      <c r="H15" s="83">
        <v>74</v>
      </c>
      <c r="I15" s="83">
        <v>68.8</v>
      </c>
      <c r="J15" s="28">
        <f t="shared" si="0"/>
        <v>0.10613353079106504</v>
      </c>
      <c r="K15" s="21">
        <f t="shared" si="1"/>
        <v>648.24</v>
      </c>
      <c r="L15" s="3">
        <f t="shared" si="2"/>
        <v>648.24</v>
      </c>
    </row>
    <row r="16" spans="1:12" x14ac:dyDescent="0.3">
      <c r="A16" s="7" t="s">
        <v>73</v>
      </c>
      <c r="B16" s="8" t="s">
        <v>1</v>
      </c>
      <c r="C16" s="3" t="s">
        <v>74</v>
      </c>
      <c r="D16" s="4">
        <v>39845</v>
      </c>
      <c r="E16" s="82">
        <v>118.10000000000001</v>
      </c>
      <c r="F16" s="82">
        <v>112.5</v>
      </c>
      <c r="G16" s="83">
        <v>118.10000000000001</v>
      </c>
      <c r="H16" s="83">
        <v>118.10000000000001</v>
      </c>
      <c r="I16" s="83">
        <v>258.7</v>
      </c>
      <c r="J16" s="28">
        <f t="shared" si="0"/>
        <v>0.25005896249212217</v>
      </c>
      <c r="K16" s="21">
        <f t="shared" si="1"/>
        <v>1034.556</v>
      </c>
      <c r="L16" s="3">
        <f t="shared" si="2"/>
        <v>1034.556</v>
      </c>
    </row>
    <row r="17" spans="1:12" x14ac:dyDescent="0.3">
      <c r="A17" s="7" t="s">
        <v>17</v>
      </c>
      <c r="B17" s="8" t="s">
        <v>1</v>
      </c>
      <c r="C17" s="3" t="s">
        <v>18</v>
      </c>
      <c r="D17" s="4">
        <v>40878</v>
      </c>
      <c r="E17" s="82">
        <v>55.400000000000006</v>
      </c>
      <c r="F17" s="82">
        <v>57.400000000000006</v>
      </c>
      <c r="G17" s="83">
        <v>55.400000000000006</v>
      </c>
      <c r="H17" s="83">
        <v>55.400000000000006</v>
      </c>
      <c r="I17" s="83">
        <v>126</v>
      </c>
      <c r="J17" s="28">
        <f t="shared" si="0"/>
        <v>0.25963107660353096</v>
      </c>
      <c r="K17" s="21">
        <f t="shared" si="1"/>
        <v>485.30400000000003</v>
      </c>
      <c r="L17" s="3">
        <f t="shared" si="2"/>
        <v>485.30400000000003</v>
      </c>
    </row>
    <row r="18" spans="1:12" x14ac:dyDescent="0.3">
      <c r="A18" s="7" t="s">
        <v>171</v>
      </c>
      <c r="B18" s="8" t="s">
        <v>22</v>
      </c>
      <c r="C18" s="3" t="s">
        <v>29</v>
      </c>
      <c r="D18" s="4">
        <v>42705</v>
      </c>
      <c r="E18" s="82">
        <v>77.7</v>
      </c>
      <c r="F18" s="82">
        <v>77.7</v>
      </c>
      <c r="G18" s="83">
        <v>77.7</v>
      </c>
      <c r="H18" s="83">
        <v>77.7</v>
      </c>
      <c r="I18" s="83">
        <v>225.9</v>
      </c>
      <c r="J18" s="28">
        <f t="shared" si="0"/>
        <v>0.33188766065478392</v>
      </c>
      <c r="K18" s="21">
        <f t="shared" si="1"/>
        <v>680.65200000000004</v>
      </c>
      <c r="L18" s="3">
        <f t="shared" si="2"/>
        <v>680.65200000000004</v>
      </c>
    </row>
    <row r="19" spans="1:12" x14ac:dyDescent="0.3">
      <c r="A19" s="7" t="s">
        <v>19</v>
      </c>
      <c r="B19" s="8" t="s">
        <v>12</v>
      </c>
      <c r="C19" s="3" t="s">
        <v>20</v>
      </c>
      <c r="D19" s="4">
        <v>36770</v>
      </c>
      <c r="E19" s="82">
        <v>11.600000000000001</v>
      </c>
      <c r="F19" s="82">
        <v>11.5</v>
      </c>
      <c r="G19" s="83">
        <v>11.600000000000001</v>
      </c>
      <c r="H19" s="83">
        <v>11.600000000000001</v>
      </c>
      <c r="I19" s="83">
        <v>17.100000000000001</v>
      </c>
      <c r="J19" s="28">
        <f t="shared" si="0"/>
        <v>0.16828058573452997</v>
      </c>
      <c r="K19" s="21">
        <f t="shared" si="1"/>
        <v>101.61600000000001</v>
      </c>
      <c r="L19" s="3">
        <f t="shared" si="2"/>
        <v>101.61600000000001</v>
      </c>
    </row>
    <row r="20" spans="1:12" x14ac:dyDescent="0.3">
      <c r="A20" s="7" t="s">
        <v>14</v>
      </c>
      <c r="B20" s="8" t="s">
        <v>12</v>
      </c>
      <c r="C20" s="3" t="s">
        <v>13</v>
      </c>
      <c r="D20" s="4">
        <v>38718</v>
      </c>
      <c r="E20" s="82">
        <v>231</v>
      </c>
      <c r="F20" s="82">
        <v>231</v>
      </c>
      <c r="G20" s="83">
        <v>231</v>
      </c>
      <c r="H20" s="83">
        <v>231</v>
      </c>
      <c r="I20" s="83">
        <v>538.9</v>
      </c>
      <c r="J20" s="28">
        <f t="shared" si="0"/>
        <v>0.2663128348059855</v>
      </c>
      <c r="K20" s="21">
        <f t="shared" si="1"/>
        <v>2023.56</v>
      </c>
      <c r="L20" s="3">
        <f t="shared" si="2"/>
        <v>2023.56</v>
      </c>
    </row>
    <row r="21" spans="1:12" x14ac:dyDescent="0.3">
      <c r="A21" s="7" t="s">
        <v>11</v>
      </c>
      <c r="B21" s="8" t="s">
        <v>12</v>
      </c>
      <c r="C21" s="3" t="s">
        <v>13</v>
      </c>
      <c r="D21" s="4">
        <v>39417</v>
      </c>
      <c r="E21" s="82">
        <v>90.800000000000011</v>
      </c>
      <c r="F21" s="82">
        <v>90.7</v>
      </c>
      <c r="G21" s="83">
        <v>90.800000000000011</v>
      </c>
      <c r="H21" s="83">
        <v>90.800000000000011</v>
      </c>
      <c r="I21" s="83">
        <v>202.3</v>
      </c>
      <c r="J21" s="28">
        <f t="shared" si="0"/>
        <v>0.25433488222396555</v>
      </c>
      <c r="K21" s="21">
        <f t="shared" si="1"/>
        <v>795.40800000000013</v>
      </c>
      <c r="L21" s="3">
        <f t="shared" si="2"/>
        <v>795.40800000000013</v>
      </c>
    </row>
    <row r="22" spans="1:12" x14ac:dyDescent="0.3">
      <c r="A22" s="7" t="s">
        <v>21</v>
      </c>
      <c r="B22" s="8" t="s">
        <v>22</v>
      </c>
      <c r="C22" s="3" t="s">
        <v>23</v>
      </c>
      <c r="D22" s="4">
        <v>41091</v>
      </c>
      <c r="E22" s="82">
        <v>215.20000000000002</v>
      </c>
      <c r="F22" s="82">
        <v>215.20000000000002</v>
      </c>
      <c r="G22" s="83">
        <v>215.20000000000002</v>
      </c>
      <c r="H22" s="83">
        <v>215.20000000000002</v>
      </c>
      <c r="I22" s="83">
        <v>488</v>
      </c>
      <c r="J22" s="28">
        <f t="shared" si="0"/>
        <v>0.25886506764441275</v>
      </c>
      <c r="K22" s="21">
        <f t="shared" si="1"/>
        <v>1885.1520000000003</v>
      </c>
      <c r="L22" s="3">
        <f t="shared" si="2"/>
        <v>1885.1520000000003</v>
      </c>
    </row>
    <row r="23" spans="1:12" x14ac:dyDescent="0.3">
      <c r="A23" s="7" t="s">
        <v>150</v>
      </c>
      <c r="B23" s="8" t="s">
        <v>1</v>
      </c>
      <c r="C23" s="3" t="s">
        <v>151</v>
      </c>
      <c r="D23" s="4">
        <v>41974</v>
      </c>
      <c r="E23" s="82">
        <v>16.2</v>
      </c>
      <c r="F23" s="82">
        <v>0</v>
      </c>
      <c r="G23" s="83">
        <v>0</v>
      </c>
      <c r="H23" s="83">
        <v>0</v>
      </c>
      <c r="I23" s="83">
        <v>19</v>
      </c>
      <c r="J23" s="28">
        <f t="shared" si="0"/>
        <v>0.13388578837589493</v>
      </c>
      <c r="K23" s="21">
        <f t="shared" si="1"/>
        <v>141.91200000000001</v>
      </c>
      <c r="L23" s="3">
        <f t="shared" si="2"/>
        <v>141.91200000000001</v>
      </c>
    </row>
    <row r="24" spans="1:12" x14ac:dyDescent="0.3">
      <c r="A24" s="7" t="s">
        <v>35</v>
      </c>
      <c r="B24" s="8" t="s">
        <v>12</v>
      </c>
      <c r="C24" s="3" t="s">
        <v>36</v>
      </c>
      <c r="D24" s="4">
        <v>39314</v>
      </c>
      <c r="E24" s="82">
        <v>34.5</v>
      </c>
      <c r="F24" s="82">
        <v>34.5</v>
      </c>
      <c r="G24" s="83">
        <v>34.5</v>
      </c>
      <c r="H24" s="83">
        <v>34.5</v>
      </c>
      <c r="I24" s="83">
        <v>89.2</v>
      </c>
      <c r="J24" s="28">
        <f t="shared" si="0"/>
        <v>0.29514922903844881</v>
      </c>
      <c r="K24" s="21">
        <f t="shared" si="1"/>
        <v>302.22000000000003</v>
      </c>
      <c r="L24" s="3">
        <f t="shared" si="2"/>
        <v>302.22000000000003</v>
      </c>
    </row>
    <row r="25" spans="1:12" x14ac:dyDescent="0.3">
      <c r="A25" s="7" t="s">
        <v>144</v>
      </c>
      <c r="B25" s="8" t="s">
        <v>1</v>
      </c>
      <c r="C25" s="3" t="s">
        <v>145</v>
      </c>
      <c r="D25" s="4">
        <v>41609</v>
      </c>
      <c r="E25" s="82">
        <v>93.9</v>
      </c>
      <c r="F25" s="82">
        <v>94.4</v>
      </c>
      <c r="G25" s="83">
        <v>93.9</v>
      </c>
      <c r="H25" s="83">
        <v>93.9</v>
      </c>
      <c r="I25" s="83">
        <v>281.60000000000002</v>
      </c>
      <c r="J25" s="28">
        <f t="shared" si="0"/>
        <v>0.34234418233717984</v>
      </c>
      <c r="K25" s="21">
        <f t="shared" si="1"/>
        <v>822.56399999999996</v>
      </c>
      <c r="L25" s="3">
        <f t="shared" si="2"/>
        <v>822.56399999999996</v>
      </c>
    </row>
    <row r="26" spans="1:12" x14ac:dyDescent="0.3">
      <c r="A26" s="7" t="s">
        <v>7</v>
      </c>
      <c r="B26" s="8" t="s">
        <v>8</v>
      </c>
      <c r="C26" s="3" t="s">
        <v>9</v>
      </c>
      <c r="D26" s="4">
        <v>39105</v>
      </c>
      <c r="E26" s="82">
        <v>20</v>
      </c>
      <c r="F26" s="82">
        <v>0</v>
      </c>
      <c r="G26" s="83">
        <v>0</v>
      </c>
      <c r="H26" s="83">
        <v>0</v>
      </c>
      <c r="I26" s="83">
        <v>10.8</v>
      </c>
      <c r="J26" s="28">
        <f>(I26*1000)/(8760*E26)</f>
        <v>6.1643835616438353E-2</v>
      </c>
      <c r="K26" s="21">
        <f t="shared" si="1"/>
        <v>175.2</v>
      </c>
      <c r="L26" s="3">
        <f t="shared" si="2"/>
        <v>175.2</v>
      </c>
    </row>
    <row r="27" spans="1:12" x14ac:dyDescent="0.3">
      <c r="A27" s="7" t="s">
        <v>37</v>
      </c>
      <c r="B27" s="8" t="s">
        <v>38</v>
      </c>
      <c r="C27" s="3" t="s">
        <v>34</v>
      </c>
      <c r="D27" s="4">
        <v>36800</v>
      </c>
      <c r="E27" s="82">
        <v>6.6000000000000005</v>
      </c>
      <c r="F27" s="82">
        <v>0</v>
      </c>
      <c r="G27" s="83">
        <v>0</v>
      </c>
      <c r="H27" s="83">
        <v>0</v>
      </c>
      <c r="I27" s="83">
        <v>1</v>
      </c>
      <c r="J27" s="28">
        <f>(I27*1000)/(8760*E27)</f>
        <v>1.7296250172962501E-2</v>
      </c>
      <c r="K27" s="21">
        <f t="shared" si="1"/>
        <v>57.81600000000001</v>
      </c>
      <c r="L27" s="3">
        <f t="shared" si="2"/>
        <v>57.81600000000001</v>
      </c>
    </row>
    <row r="28" spans="1:12" x14ac:dyDescent="0.3">
      <c r="A28" s="7" t="s">
        <v>33</v>
      </c>
      <c r="B28" s="8" t="s">
        <v>1</v>
      </c>
      <c r="C28" s="3" t="s">
        <v>34</v>
      </c>
      <c r="D28" s="4">
        <v>39793</v>
      </c>
      <c r="E28" s="82">
        <v>126</v>
      </c>
      <c r="F28" s="82">
        <v>126</v>
      </c>
      <c r="G28" s="83">
        <v>126</v>
      </c>
      <c r="H28" s="83">
        <v>126</v>
      </c>
      <c r="I28" s="83">
        <v>264.7</v>
      </c>
      <c r="J28" s="28">
        <f>(I28*1000)/(8760*E28)</f>
        <v>0.23981662680292817</v>
      </c>
      <c r="K28" s="21">
        <f t="shared" si="1"/>
        <v>1103.76</v>
      </c>
      <c r="L28" s="3">
        <f t="shared" si="2"/>
        <v>1103.76</v>
      </c>
    </row>
    <row r="29" spans="1:12" x14ac:dyDescent="0.3">
      <c r="A29" s="7" t="s">
        <v>66</v>
      </c>
      <c r="B29" s="3"/>
      <c r="C29" s="3"/>
      <c r="D29" s="3"/>
      <c r="E29" s="3">
        <f>SUM(E5:E28)</f>
        <v>1985.3</v>
      </c>
      <c r="F29" s="3">
        <f>SUM(F5:F28)</f>
        <v>1894.2</v>
      </c>
      <c r="G29" s="3">
        <f>SUM(G5:G28)</f>
        <v>1817.6000000000001</v>
      </c>
      <c r="H29" s="3">
        <f>SUM(H5:H28)</f>
        <v>1817.6000000000001</v>
      </c>
      <c r="I29" s="3">
        <f>SUM(I5:I28)</f>
        <v>4161.9000000000005</v>
      </c>
      <c r="J29" s="28">
        <f>I29/K29</f>
        <v>0.23931030057221955</v>
      </c>
      <c r="K29" s="21">
        <f>SUM(K5:K28)</f>
        <v>17391.227999999999</v>
      </c>
      <c r="L29" s="3">
        <f>E29*8760/1000</f>
        <v>17391.227999999999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2D410-EB6E-40AF-8E46-063A2D4843EB}">
  <dimension ref="A1:S38"/>
  <sheetViews>
    <sheetView topLeftCell="A13" workbookViewId="0">
      <selection activeCell="J29" sqref="J29"/>
    </sheetView>
  </sheetViews>
  <sheetFormatPr defaultRowHeight="14.4" x14ac:dyDescent="0.3"/>
  <cols>
    <col min="1" max="1" width="29.332031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9" x14ac:dyDescent="0.3">
      <c r="A1" t="s">
        <v>190</v>
      </c>
    </row>
    <row r="3" spans="1:19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191</v>
      </c>
      <c r="H3" s="9"/>
      <c r="I3" s="9" t="s">
        <v>192</v>
      </c>
      <c r="J3" s="9" t="s">
        <v>64</v>
      </c>
      <c r="K3" s="74" t="s">
        <v>93</v>
      </c>
    </row>
    <row r="4" spans="1:19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1" t="s">
        <v>65</v>
      </c>
      <c r="K4" s="75" t="s">
        <v>94</v>
      </c>
      <c r="S4" t="s">
        <v>193</v>
      </c>
    </row>
    <row r="5" spans="1:19" x14ac:dyDescent="0.3">
      <c r="A5" s="7" t="s">
        <v>24</v>
      </c>
      <c r="B5" s="8" t="s">
        <v>22</v>
      </c>
      <c r="C5" s="20" t="s">
        <v>25</v>
      </c>
      <c r="D5" s="23">
        <v>39714</v>
      </c>
      <c r="E5" s="20">
        <v>97.5</v>
      </c>
      <c r="F5" s="20">
        <v>97.5</v>
      </c>
      <c r="G5" s="20">
        <v>97.5</v>
      </c>
      <c r="H5" s="20">
        <v>97.5</v>
      </c>
      <c r="I5" s="20">
        <v>171.5</v>
      </c>
      <c r="J5" s="28">
        <f t="shared" ref="J5:J25" si="0">(I5*1000)/(8760*E5)</f>
        <v>0.20079615970026929</v>
      </c>
      <c r="K5" s="22">
        <f>E5*8760/1000</f>
        <v>854.1</v>
      </c>
      <c r="L5" s="26">
        <f>E5*8760/1000</f>
        <v>854.1</v>
      </c>
      <c r="S5" t="str">
        <f>IF(I5='2018'!I5,'2018'!I5,"OK")</f>
        <v>OK</v>
      </c>
    </row>
    <row r="6" spans="1:19" x14ac:dyDescent="0.3">
      <c r="A6" s="7" t="s">
        <v>182</v>
      </c>
      <c r="B6" s="8" t="s">
        <v>8</v>
      </c>
      <c r="C6" s="20" t="s">
        <v>183</v>
      </c>
      <c r="D6" s="23">
        <v>43344</v>
      </c>
      <c r="E6" s="20">
        <v>78.400000000000006</v>
      </c>
      <c r="F6" s="20">
        <v>0</v>
      </c>
      <c r="G6" s="20">
        <v>0</v>
      </c>
      <c r="H6" s="20">
        <v>0</v>
      </c>
      <c r="I6" s="20">
        <v>256.8</v>
      </c>
      <c r="J6" s="28">
        <f t="shared" ref="J6" si="1">(I6*1000)/(8760*E6)</f>
        <v>0.37391668996365668</v>
      </c>
      <c r="K6" s="22">
        <f>E6*8760/1000</f>
        <v>686.78399999999999</v>
      </c>
      <c r="L6" s="26">
        <f>E6*8760/1000</f>
        <v>686.78399999999999</v>
      </c>
      <c r="S6" t="str">
        <f>IF(I6='2018'!I6,'2018'!I6,"OK")</f>
        <v>OK</v>
      </c>
    </row>
    <row r="7" spans="1:19" x14ac:dyDescent="0.3">
      <c r="A7" s="7" t="s">
        <v>26</v>
      </c>
      <c r="B7" s="8" t="s">
        <v>8</v>
      </c>
      <c r="C7" s="20" t="s">
        <v>27</v>
      </c>
      <c r="D7" s="23">
        <v>39527</v>
      </c>
      <c r="E7" s="20">
        <v>100.5</v>
      </c>
      <c r="F7" s="20">
        <v>100.5</v>
      </c>
      <c r="G7" s="20">
        <v>100.5</v>
      </c>
      <c r="H7" s="20">
        <v>100.5</v>
      </c>
      <c r="I7" s="20">
        <v>170.3</v>
      </c>
      <c r="J7" s="28">
        <f t="shared" si="0"/>
        <v>0.19343919671051138</v>
      </c>
      <c r="K7" s="22">
        <f t="shared" ref="K7:K28" si="2">E7*8760/1000</f>
        <v>880.38</v>
      </c>
      <c r="L7" s="26">
        <f t="shared" ref="L7:L28" si="3">E7*8760/1000</f>
        <v>880.38</v>
      </c>
      <c r="S7" t="str">
        <f>IF(I7='2018'!I7,'2018'!I7,"OK")</f>
        <v>OK</v>
      </c>
    </row>
    <row r="8" spans="1:19" x14ac:dyDescent="0.3">
      <c r="A8" s="7" t="s">
        <v>0</v>
      </c>
      <c r="B8" s="8" t="s">
        <v>1</v>
      </c>
      <c r="C8" s="20" t="s">
        <v>2</v>
      </c>
      <c r="D8" s="23">
        <v>39787</v>
      </c>
      <c r="E8" s="20">
        <v>125</v>
      </c>
      <c r="F8" s="20">
        <v>125</v>
      </c>
      <c r="G8" s="20">
        <v>125</v>
      </c>
      <c r="H8" s="20">
        <v>125</v>
      </c>
      <c r="I8" s="20">
        <v>208.4</v>
      </c>
      <c r="J8" s="28">
        <f t="shared" si="0"/>
        <v>0.19031963470319635</v>
      </c>
      <c r="K8" s="22">
        <f t="shared" si="2"/>
        <v>1095</v>
      </c>
      <c r="L8" s="26">
        <f t="shared" si="3"/>
        <v>1095</v>
      </c>
      <c r="S8" t="str">
        <f>IF(I8='2018'!I8,'2018'!I8,"OK")</f>
        <v>OK</v>
      </c>
    </row>
    <row r="9" spans="1:19" x14ac:dyDescent="0.3">
      <c r="A9" s="7" t="s">
        <v>28</v>
      </c>
      <c r="B9" s="8" t="s">
        <v>22</v>
      </c>
      <c r="C9" s="20" t="s">
        <v>29</v>
      </c>
      <c r="D9" s="23">
        <v>39728</v>
      </c>
      <c r="E9" s="20">
        <v>106.5</v>
      </c>
      <c r="F9" s="20">
        <v>106.5</v>
      </c>
      <c r="G9" s="20">
        <v>106.5</v>
      </c>
      <c r="H9" s="20">
        <v>106.5</v>
      </c>
      <c r="I9" s="20">
        <v>197.1</v>
      </c>
      <c r="J9" s="28">
        <f t="shared" si="0"/>
        <v>0.21126760563380281</v>
      </c>
      <c r="K9" s="22">
        <f t="shared" si="2"/>
        <v>932.94</v>
      </c>
      <c r="L9" s="26">
        <f t="shared" si="3"/>
        <v>932.94</v>
      </c>
      <c r="S9" t="str">
        <f>IF(I9='2018'!I9,'2018'!I9,"OK")</f>
        <v>OK</v>
      </c>
    </row>
    <row r="10" spans="1:19" x14ac:dyDescent="0.3">
      <c r="A10" s="7" t="s">
        <v>30</v>
      </c>
      <c r="B10" s="8" t="s">
        <v>22</v>
      </c>
      <c r="C10" s="20" t="s">
        <v>31</v>
      </c>
      <c r="D10" s="23">
        <v>39547</v>
      </c>
      <c r="E10" s="20">
        <v>100.5</v>
      </c>
      <c r="F10" s="20">
        <v>100.5</v>
      </c>
      <c r="G10" s="20">
        <v>100.5</v>
      </c>
      <c r="H10" s="20">
        <v>100.5</v>
      </c>
      <c r="I10" s="20">
        <v>170.3</v>
      </c>
      <c r="J10" s="28">
        <f t="shared" si="0"/>
        <v>0.19343919671051138</v>
      </c>
      <c r="K10" s="22">
        <f t="shared" si="2"/>
        <v>880.38</v>
      </c>
      <c r="L10" s="26">
        <f t="shared" si="3"/>
        <v>880.38</v>
      </c>
      <c r="S10" t="str">
        <f>IF(I10='2018'!I10,'2018'!I10,"OK")</f>
        <v>OK</v>
      </c>
    </row>
    <row r="11" spans="1:19" x14ac:dyDescent="0.3">
      <c r="A11" s="7" t="s">
        <v>180</v>
      </c>
      <c r="B11" s="8" t="s">
        <v>12</v>
      </c>
      <c r="C11" s="20" t="s">
        <v>181</v>
      </c>
      <c r="D11" s="23">
        <v>43435</v>
      </c>
      <c r="E11" s="20">
        <v>79.900000000000006</v>
      </c>
      <c r="F11" s="20">
        <v>79.900000000000006</v>
      </c>
      <c r="G11" s="20">
        <v>0</v>
      </c>
      <c r="H11" s="20">
        <v>0</v>
      </c>
      <c r="I11" s="20">
        <v>246.6</v>
      </c>
      <c r="J11" s="28">
        <f t="shared" si="0"/>
        <v>0.3523239666020882</v>
      </c>
      <c r="K11" s="22">
        <f t="shared" si="2"/>
        <v>699.92399999999998</v>
      </c>
      <c r="L11" s="26">
        <f t="shared" si="3"/>
        <v>699.92399999999998</v>
      </c>
      <c r="S11" t="str">
        <f>IF(I11='2018'!I11,'2018'!I11,"OK")</f>
        <v>OK</v>
      </c>
    </row>
    <row r="12" spans="1:19" x14ac:dyDescent="0.3">
      <c r="A12" s="7" t="s">
        <v>32</v>
      </c>
      <c r="B12" s="8" t="s">
        <v>22</v>
      </c>
      <c r="C12" s="20" t="s">
        <v>23</v>
      </c>
      <c r="D12" s="23">
        <v>39538</v>
      </c>
      <c r="E12" s="20">
        <v>81</v>
      </c>
      <c r="F12" s="20">
        <v>81</v>
      </c>
      <c r="G12" s="20">
        <v>81</v>
      </c>
      <c r="H12" s="20">
        <v>81</v>
      </c>
      <c r="I12" s="20">
        <v>158.1</v>
      </c>
      <c r="J12" s="28">
        <f t="shared" si="0"/>
        <v>0.22281413833925248</v>
      </c>
      <c r="K12" s="22">
        <f t="shared" si="2"/>
        <v>709.56</v>
      </c>
      <c r="L12" s="26">
        <f t="shared" si="3"/>
        <v>709.56</v>
      </c>
      <c r="S12" t="str">
        <f>IF(I12='2018'!I12,'2018'!I12,"OK")</f>
        <v>OK</v>
      </c>
    </row>
    <row r="13" spans="1:19" x14ac:dyDescent="0.3">
      <c r="A13" s="7" t="s">
        <v>10</v>
      </c>
      <c r="B13" s="8" t="s">
        <v>8</v>
      </c>
      <c r="C13" s="3" t="s">
        <v>9</v>
      </c>
      <c r="D13" s="4">
        <v>40940</v>
      </c>
      <c r="E13" s="3">
        <v>15</v>
      </c>
      <c r="F13" s="3">
        <v>0</v>
      </c>
      <c r="G13" s="3">
        <v>0</v>
      </c>
      <c r="H13" s="3"/>
      <c r="I13" s="3">
        <v>18.5</v>
      </c>
      <c r="J13" s="28">
        <f t="shared" si="0"/>
        <v>0.14079147640791476</v>
      </c>
      <c r="K13" s="21">
        <f t="shared" si="2"/>
        <v>131.4</v>
      </c>
      <c r="L13" s="26">
        <f t="shared" si="3"/>
        <v>131.4</v>
      </c>
      <c r="S13" t="str">
        <f>IF(I13='2018'!I13,'2018'!I13,"OK")</f>
        <v>OK</v>
      </c>
    </row>
    <row r="14" spans="1:19" x14ac:dyDescent="0.3">
      <c r="A14" s="7" t="s">
        <v>5</v>
      </c>
      <c r="B14" s="8" t="s">
        <v>1</v>
      </c>
      <c r="C14" s="3" t="s">
        <v>6</v>
      </c>
      <c r="D14" s="4">
        <v>37226</v>
      </c>
      <c r="E14" s="3">
        <v>30</v>
      </c>
      <c r="F14" s="3">
        <v>0</v>
      </c>
      <c r="G14" s="3">
        <v>0</v>
      </c>
      <c r="H14" s="3">
        <v>0</v>
      </c>
      <c r="I14" s="3">
        <v>72.5</v>
      </c>
      <c r="J14" s="28">
        <f t="shared" si="0"/>
        <v>0.2758751902587519</v>
      </c>
      <c r="K14" s="21">
        <f t="shared" si="2"/>
        <v>262.8</v>
      </c>
      <c r="L14" s="26">
        <f t="shared" si="3"/>
        <v>262.8</v>
      </c>
      <c r="S14" t="str">
        <f>IF(I14='2018'!I14,'2018'!I14,"OK")</f>
        <v>OK</v>
      </c>
    </row>
    <row r="15" spans="1:19" x14ac:dyDescent="0.3">
      <c r="A15" s="7" t="s">
        <v>15</v>
      </c>
      <c r="B15" s="8" t="s">
        <v>12</v>
      </c>
      <c r="C15" s="3" t="s">
        <v>16</v>
      </c>
      <c r="D15" s="4">
        <v>40575</v>
      </c>
      <c r="E15" s="3">
        <v>74</v>
      </c>
      <c r="F15" s="3">
        <v>74</v>
      </c>
      <c r="G15" s="3">
        <v>74</v>
      </c>
      <c r="H15" s="3">
        <v>74</v>
      </c>
      <c r="I15" s="3">
        <v>184.4</v>
      </c>
      <c r="J15" s="28">
        <f t="shared" si="0"/>
        <v>0.28446254473651733</v>
      </c>
      <c r="K15" s="21">
        <f t="shared" si="2"/>
        <v>648.24</v>
      </c>
      <c r="L15" s="26">
        <f t="shared" si="3"/>
        <v>648.24</v>
      </c>
      <c r="S15" t="str">
        <f>IF(I15='2018'!I15,'2018'!I15,"OK")</f>
        <v>OK</v>
      </c>
    </row>
    <row r="16" spans="1:19" x14ac:dyDescent="0.3">
      <c r="A16" s="7" t="s">
        <v>73</v>
      </c>
      <c r="B16" s="8" t="s">
        <v>1</v>
      </c>
      <c r="C16" s="3" t="s">
        <v>74</v>
      </c>
      <c r="D16" s="4">
        <v>39845</v>
      </c>
      <c r="E16" s="26">
        <v>118.1</v>
      </c>
      <c r="F16" s="26">
        <v>112.5</v>
      </c>
      <c r="G16" s="26">
        <v>112.5</v>
      </c>
      <c r="H16" s="26">
        <v>112.5</v>
      </c>
      <c r="I16" s="26">
        <v>256.3</v>
      </c>
      <c r="J16" s="52">
        <f t="shared" si="0"/>
        <v>0.24773912673649373</v>
      </c>
      <c r="K16" s="21">
        <f t="shared" si="2"/>
        <v>1034.556</v>
      </c>
      <c r="L16" s="26">
        <f t="shared" si="3"/>
        <v>1034.556</v>
      </c>
      <c r="S16" t="str">
        <f>IF(I16='2018'!I16,'2018'!I16,"OK")</f>
        <v>OK</v>
      </c>
    </row>
    <row r="17" spans="1:19" x14ac:dyDescent="0.3">
      <c r="A17" s="7" t="s">
        <v>17</v>
      </c>
      <c r="B17" s="8" t="s">
        <v>1</v>
      </c>
      <c r="C17" s="3" t="s">
        <v>18</v>
      </c>
      <c r="D17" s="4">
        <v>40878</v>
      </c>
      <c r="E17" s="3">
        <v>55.4</v>
      </c>
      <c r="F17" s="3">
        <v>57.4</v>
      </c>
      <c r="G17" s="3">
        <v>55.4</v>
      </c>
      <c r="H17" s="3">
        <v>55.4</v>
      </c>
      <c r="I17" s="3">
        <v>129.1</v>
      </c>
      <c r="J17" s="28">
        <f t="shared" si="0"/>
        <v>0.26601882531361787</v>
      </c>
      <c r="K17" s="21">
        <f t="shared" si="2"/>
        <v>485.30399999999997</v>
      </c>
      <c r="L17" s="26">
        <f t="shared" si="3"/>
        <v>485.30399999999997</v>
      </c>
      <c r="S17" t="str">
        <f>IF(I17='2018'!I17,'2018'!I17,"OK")</f>
        <v>OK</v>
      </c>
    </row>
    <row r="18" spans="1:19" x14ac:dyDescent="0.3">
      <c r="A18" s="7" t="s">
        <v>171</v>
      </c>
      <c r="B18" s="8" t="s">
        <v>22</v>
      </c>
      <c r="C18" s="3" t="s">
        <v>29</v>
      </c>
      <c r="D18" s="4">
        <v>42705</v>
      </c>
      <c r="E18" s="3">
        <v>77.7</v>
      </c>
      <c r="F18" s="3">
        <v>77.7</v>
      </c>
      <c r="G18" s="3">
        <v>77.7</v>
      </c>
      <c r="H18" s="3">
        <v>77.7</v>
      </c>
      <c r="I18" s="3">
        <v>227.5</v>
      </c>
      <c r="J18" s="28">
        <f t="shared" si="0"/>
        <v>0.3342383479369781</v>
      </c>
      <c r="K18" s="21">
        <f t="shared" si="2"/>
        <v>680.65200000000004</v>
      </c>
      <c r="L18" s="26">
        <f t="shared" si="3"/>
        <v>680.65200000000004</v>
      </c>
      <c r="S18" t="str">
        <f>IF(I18='2018'!I18,'2018'!I18,"OK")</f>
        <v>OK</v>
      </c>
    </row>
    <row r="19" spans="1:19" x14ac:dyDescent="0.3">
      <c r="A19" s="7" t="s">
        <v>19</v>
      </c>
      <c r="B19" s="8" t="s">
        <v>12</v>
      </c>
      <c r="C19" s="3" t="s">
        <v>20</v>
      </c>
      <c r="D19" s="4">
        <v>36770</v>
      </c>
      <c r="E19" s="3">
        <v>11.6</v>
      </c>
      <c r="F19" s="3">
        <v>11.5</v>
      </c>
      <c r="G19" s="3">
        <v>11.6</v>
      </c>
      <c r="H19" s="3">
        <v>11.6</v>
      </c>
      <c r="I19" s="3">
        <v>18.8</v>
      </c>
      <c r="J19" s="28">
        <f t="shared" si="0"/>
        <v>0.18501023460872304</v>
      </c>
      <c r="K19" s="21">
        <f t="shared" si="2"/>
        <v>101.616</v>
      </c>
      <c r="L19" s="26">
        <f t="shared" si="3"/>
        <v>101.616</v>
      </c>
      <c r="S19" t="str">
        <f>IF(I19='2018'!I19,'2018'!I19,"OK")</f>
        <v>OK</v>
      </c>
    </row>
    <row r="20" spans="1:19" x14ac:dyDescent="0.3">
      <c r="A20" s="7" t="s">
        <v>14</v>
      </c>
      <c r="B20" s="8" t="s">
        <v>12</v>
      </c>
      <c r="C20" s="3" t="s">
        <v>13</v>
      </c>
      <c r="D20" s="4">
        <v>38718</v>
      </c>
      <c r="E20" s="3">
        <v>231</v>
      </c>
      <c r="F20" s="3">
        <v>231</v>
      </c>
      <c r="G20" s="3">
        <v>231</v>
      </c>
      <c r="H20" s="3">
        <v>231</v>
      </c>
      <c r="I20" s="3">
        <v>536.20000000000005</v>
      </c>
      <c r="J20" s="28">
        <f t="shared" si="0"/>
        <v>0.26497855264978554</v>
      </c>
      <c r="K20" s="21">
        <f t="shared" si="2"/>
        <v>2023.56</v>
      </c>
      <c r="L20" s="26">
        <f t="shared" si="3"/>
        <v>2023.56</v>
      </c>
      <c r="S20" t="str">
        <f>IF(I20='2018'!I20,'2018'!I20,"OK")</f>
        <v>OK</v>
      </c>
    </row>
    <row r="21" spans="1:19" x14ac:dyDescent="0.3">
      <c r="A21" s="7" t="s">
        <v>11</v>
      </c>
      <c r="B21" s="8" t="s">
        <v>12</v>
      </c>
      <c r="C21" s="3" t="s">
        <v>13</v>
      </c>
      <c r="D21" s="4">
        <v>39417</v>
      </c>
      <c r="E21" s="3">
        <v>90.7</v>
      </c>
      <c r="F21" s="3">
        <v>90.7</v>
      </c>
      <c r="G21" s="3">
        <v>90.7</v>
      </c>
      <c r="H21" s="3">
        <v>90.8</v>
      </c>
      <c r="I21" s="3">
        <v>200.8</v>
      </c>
      <c r="J21" s="28">
        <f t="shared" si="0"/>
        <v>0.25272739172242276</v>
      </c>
      <c r="K21" s="21">
        <f t="shared" si="2"/>
        <v>794.53200000000004</v>
      </c>
      <c r="L21" s="26">
        <f t="shared" si="3"/>
        <v>794.53200000000004</v>
      </c>
      <c r="S21" t="str">
        <f>IF(I21='2018'!I21,'2018'!I21,"OK")</f>
        <v>OK</v>
      </c>
    </row>
    <row r="22" spans="1:19" x14ac:dyDescent="0.3">
      <c r="A22" s="7" t="s">
        <v>21</v>
      </c>
      <c r="B22" s="8" t="s">
        <v>22</v>
      </c>
      <c r="C22" s="3" t="s">
        <v>23</v>
      </c>
      <c r="D22" s="4">
        <v>41091</v>
      </c>
      <c r="E22" s="3">
        <v>215.2</v>
      </c>
      <c r="F22" s="3">
        <v>215.2</v>
      </c>
      <c r="G22" s="3">
        <v>215.2</v>
      </c>
      <c r="H22" s="3">
        <v>215.2</v>
      </c>
      <c r="I22" s="3">
        <v>519.79999999999995</v>
      </c>
      <c r="J22" s="28">
        <f t="shared" si="0"/>
        <v>0.27573373393763473</v>
      </c>
      <c r="K22" s="21">
        <f t="shared" si="2"/>
        <v>1885.152</v>
      </c>
      <c r="L22" s="26">
        <f t="shared" si="3"/>
        <v>1885.152</v>
      </c>
      <c r="S22" t="str">
        <f>IF(I22='2018'!I22,'2018'!I22,"OK")</f>
        <v>OK</v>
      </c>
    </row>
    <row r="23" spans="1:19" x14ac:dyDescent="0.3">
      <c r="A23" s="7" t="s">
        <v>150</v>
      </c>
      <c r="B23" s="8" t="s">
        <v>1</v>
      </c>
      <c r="C23" s="3" t="s">
        <v>151</v>
      </c>
      <c r="D23" s="4">
        <v>41974</v>
      </c>
      <c r="E23" s="3">
        <v>16.2</v>
      </c>
      <c r="F23" s="3">
        <v>0</v>
      </c>
      <c r="G23" s="3">
        <v>0</v>
      </c>
      <c r="H23" s="3">
        <v>0</v>
      </c>
      <c r="I23" s="3">
        <v>50.4</v>
      </c>
      <c r="J23" s="28">
        <f t="shared" si="0"/>
        <v>0.35514967021816335</v>
      </c>
      <c r="K23" s="21">
        <f t="shared" si="2"/>
        <v>141.91200000000001</v>
      </c>
      <c r="L23" s="26">
        <f t="shared" si="3"/>
        <v>141.91200000000001</v>
      </c>
      <c r="S23" t="str">
        <f>IF(I23='2018'!I23,'2018'!I23,"OK")</f>
        <v>OK</v>
      </c>
    </row>
    <row r="24" spans="1:19" x14ac:dyDescent="0.3">
      <c r="A24" s="7" t="s">
        <v>35</v>
      </c>
      <c r="B24" s="8" t="s">
        <v>12</v>
      </c>
      <c r="C24" s="3" t="s">
        <v>36</v>
      </c>
      <c r="D24" s="4">
        <v>39314</v>
      </c>
      <c r="E24" s="3">
        <v>34.5</v>
      </c>
      <c r="F24" s="3">
        <v>34.5</v>
      </c>
      <c r="G24" s="3">
        <v>34.5</v>
      </c>
      <c r="H24" s="3">
        <v>34.5</v>
      </c>
      <c r="I24" s="3">
        <v>33.799999999999997</v>
      </c>
      <c r="J24" s="28">
        <f t="shared" si="0"/>
        <v>0.1118390576401297</v>
      </c>
      <c r="K24" s="21">
        <f t="shared" si="2"/>
        <v>302.22000000000003</v>
      </c>
      <c r="L24" s="26">
        <f t="shared" si="3"/>
        <v>302.22000000000003</v>
      </c>
      <c r="S24" t="str">
        <f>IF(I24='2018'!I24,'2018'!I24,"OK")</f>
        <v>OK</v>
      </c>
    </row>
    <row r="25" spans="1:19" x14ac:dyDescent="0.3">
      <c r="A25" s="7" t="s">
        <v>144</v>
      </c>
      <c r="B25" s="8" t="s">
        <v>1</v>
      </c>
      <c r="C25" s="3" t="s">
        <v>145</v>
      </c>
      <c r="D25" s="4">
        <v>41609</v>
      </c>
      <c r="E25" s="3">
        <v>93.9</v>
      </c>
      <c r="F25" s="3">
        <v>94.4</v>
      </c>
      <c r="G25" s="3">
        <v>93.9</v>
      </c>
      <c r="H25" s="3">
        <v>93.9</v>
      </c>
      <c r="I25" s="3">
        <v>275.60000000000002</v>
      </c>
      <c r="J25" s="28">
        <f t="shared" si="0"/>
        <v>0.33504991708851833</v>
      </c>
      <c r="K25" s="21">
        <f t="shared" si="2"/>
        <v>822.56399999999996</v>
      </c>
      <c r="L25" s="26">
        <f t="shared" si="3"/>
        <v>822.56399999999996</v>
      </c>
      <c r="S25" t="str">
        <f>IF(I25='2018'!I25,'2018'!I25,"OK")</f>
        <v>OK</v>
      </c>
    </row>
    <row r="26" spans="1:19" x14ac:dyDescent="0.3">
      <c r="A26" s="7" t="s">
        <v>7</v>
      </c>
      <c r="B26" s="8" t="s">
        <v>8</v>
      </c>
      <c r="C26" s="3" t="s">
        <v>9</v>
      </c>
      <c r="D26" s="4">
        <v>39105</v>
      </c>
      <c r="E26" s="3">
        <v>20</v>
      </c>
      <c r="F26" s="3">
        <v>0</v>
      </c>
      <c r="G26" s="3">
        <v>0</v>
      </c>
      <c r="H26" s="3">
        <v>0</v>
      </c>
      <c r="I26" s="3">
        <v>27.1</v>
      </c>
      <c r="J26" s="28">
        <f>(I26*1000)/(8760*E26)</f>
        <v>0.15468036529680365</v>
      </c>
      <c r="K26" s="21">
        <f t="shared" si="2"/>
        <v>175.2</v>
      </c>
      <c r="L26" s="26">
        <f t="shared" si="3"/>
        <v>175.2</v>
      </c>
      <c r="S26" t="str">
        <f>IF(I26='2018'!I26,'2018'!I26,"OK")</f>
        <v>OK</v>
      </c>
    </row>
    <row r="27" spans="1:19" x14ac:dyDescent="0.3">
      <c r="A27" s="7" t="s">
        <v>37</v>
      </c>
      <c r="B27" s="8" t="s">
        <v>38</v>
      </c>
      <c r="C27" s="3" t="s">
        <v>34</v>
      </c>
      <c r="D27" s="4">
        <v>36800</v>
      </c>
      <c r="E27" s="3">
        <v>6.6</v>
      </c>
      <c r="F27" s="3">
        <v>6.6</v>
      </c>
      <c r="G27" s="3">
        <v>0</v>
      </c>
      <c r="H27" s="3">
        <v>0</v>
      </c>
      <c r="I27" s="3">
        <v>3</v>
      </c>
      <c r="J27" s="28">
        <f>(I27*1000)/(8760*E27)</f>
        <v>5.1888750518887507E-2</v>
      </c>
      <c r="K27" s="21">
        <f t="shared" si="2"/>
        <v>57.816000000000003</v>
      </c>
      <c r="L27" s="26">
        <f t="shared" si="3"/>
        <v>57.816000000000003</v>
      </c>
      <c r="S27" t="str">
        <f>IF(I27='2018'!I27,'2018'!I27,"OK")</f>
        <v>OK</v>
      </c>
    </row>
    <row r="28" spans="1:19" x14ac:dyDescent="0.3">
      <c r="A28" s="7" t="s">
        <v>33</v>
      </c>
      <c r="B28" s="8" t="s">
        <v>1</v>
      </c>
      <c r="C28" s="3" t="s">
        <v>34</v>
      </c>
      <c r="D28" s="4">
        <v>39793</v>
      </c>
      <c r="E28" s="3">
        <v>126</v>
      </c>
      <c r="F28" s="3">
        <v>126</v>
      </c>
      <c r="G28" s="3">
        <v>126</v>
      </c>
      <c r="H28" s="3">
        <v>126</v>
      </c>
      <c r="I28" s="3">
        <v>266.60000000000002</v>
      </c>
      <c r="J28" s="28">
        <f>(I28*1000)/(8760*E28)</f>
        <v>0.24153801551061824</v>
      </c>
      <c r="K28" s="21">
        <f t="shared" si="2"/>
        <v>1103.76</v>
      </c>
      <c r="L28" s="26">
        <f t="shared" si="3"/>
        <v>1103.76</v>
      </c>
      <c r="S28" t="str">
        <f>IF(I28='2018'!I28,'2018'!I28,"OK")</f>
        <v>OK</v>
      </c>
    </row>
    <row r="29" spans="1:19" x14ac:dyDescent="0.3">
      <c r="A29" s="7" t="s">
        <v>66</v>
      </c>
      <c r="B29" s="3"/>
      <c r="C29" s="3"/>
      <c r="D29" s="3"/>
      <c r="E29" s="3">
        <f>SUM(E5:E28)</f>
        <v>1985.2</v>
      </c>
      <c r="F29" s="3">
        <f>SUM(F5:F28)</f>
        <v>1822.4</v>
      </c>
      <c r="G29" s="3">
        <f>SUM(G5:G28)</f>
        <v>1733.5000000000002</v>
      </c>
      <c r="H29" s="3">
        <f>SUM(H5:H28)</f>
        <v>1733.6000000000001</v>
      </c>
      <c r="I29" s="3">
        <f>SUM(I5:I28)</f>
        <v>4399.5000000000018</v>
      </c>
      <c r="J29" s="28">
        <f>I29/K29</f>
        <v>0.25298510346426584</v>
      </c>
      <c r="K29" s="21">
        <f>SUM(K5:K28)</f>
        <v>17390.351999999999</v>
      </c>
      <c r="L29" s="26">
        <f>E29*8760/1000</f>
        <v>17390.351999999999</v>
      </c>
    </row>
    <row r="31" spans="1:19" x14ac:dyDescent="0.3">
      <c r="A31" s="76" t="s">
        <v>230</v>
      </c>
      <c r="E31">
        <v>290.7</v>
      </c>
      <c r="I31">
        <v>858.7</v>
      </c>
      <c r="J31" s="28">
        <f>(I31*1000)/(8760*E31)</f>
        <v>0.33720369506450343</v>
      </c>
    </row>
    <row r="33" spans="5:10" x14ac:dyDescent="0.3">
      <c r="E33" s="34">
        <f>E29</f>
        <v>1985.2</v>
      </c>
      <c r="F33" s="34">
        <f>E33*8.76</f>
        <v>17390.351999999999</v>
      </c>
    </row>
    <row r="34" spans="5:10" x14ac:dyDescent="0.3">
      <c r="E34" s="34">
        <v>7995</v>
      </c>
      <c r="F34" s="34"/>
    </row>
    <row r="35" spans="5:10" x14ac:dyDescent="0.3">
      <c r="F35">
        <f>E34/F33</f>
        <v>0.4597376752350959</v>
      </c>
    </row>
    <row r="38" spans="5:10" x14ac:dyDescent="0.3">
      <c r="E38">
        <f>I38/(J38*8760)</f>
        <v>1.9851999999999996</v>
      </c>
      <c r="I38">
        <f>I29</f>
        <v>4399.5000000000018</v>
      </c>
      <c r="J38" s="80">
        <f>J29</f>
        <v>0.25298510346426584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N31"/>
  <sheetViews>
    <sheetView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I29" sqref="I29"/>
    </sheetView>
  </sheetViews>
  <sheetFormatPr defaultRowHeight="14.4" x14ac:dyDescent="0.3"/>
  <cols>
    <col min="1" max="1" width="29.332031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4" x14ac:dyDescent="0.3">
      <c r="A1" t="s">
        <v>177</v>
      </c>
    </row>
    <row r="3" spans="1:14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178</v>
      </c>
      <c r="H3" s="9"/>
      <c r="I3" s="9" t="s">
        <v>179</v>
      </c>
      <c r="J3" s="9" t="s">
        <v>64</v>
      </c>
      <c r="K3" s="74" t="s">
        <v>93</v>
      </c>
    </row>
    <row r="4" spans="1:14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1" t="s">
        <v>65</v>
      </c>
      <c r="K4" s="75" t="s">
        <v>94</v>
      </c>
    </row>
    <row r="5" spans="1:14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3">
        <v>168.6</v>
      </c>
      <c r="J5" s="28">
        <f t="shared" ref="J5:J25" si="0">(I5*1000)/(8760*E5)</f>
        <v>0.1974007727432385</v>
      </c>
      <c r="K5" s="21">
        <f>E5*8760/1000</f>
        <v>854.1</v>
      </c>
      <c r="L5" s="26">
        <f>E5*8760/1000</f>
        <v>854.1</v>
      </c>
    </row>
    <row r="6" spans="1:14" x14ac:dyDescent="0.3">
      <c r="A6" s="7" t="s">
        <v>182</v>
      </c>
      <c r="B6" s="8" t="s">
        <v>8</v>
      </c>
      <c r="C6" s="3" t="s">
        <v>183</v>
      </c>
      <c r="D6" s="19">
        <v>43344</v>
      </c>
      <c r="E6" s="3">
        <v>78.400000000000006</v>
      </c>
      <c r="F6" s="3">
        <v>0</v>
      </c>
      <c r="G6" s="3">
        <v>0</v>
      </c>
      <c r="H6" s="3">
        <v>0</v>
      </c>
      <c r="I6" s="3">
        <v>82</v>
      </c>
      <c r="J6" s="67">
        <f>(I6*1000)/(24*(30+31+30+31)*E6)</f>
        <v>0.35721255715400912</v>
      </c>
      <c r="K6" s="70">
        <f>E6*(30+31+31+30)*24/1000</f>
        <v>229.55520000000001</v>
      </c>
      <c r="L6" s="26">
        <f>E6*8760/1000</f>
        <v>686.78399999999999</v>
      </c>
    </row>
    <row r="7" spans="1:14" x14ac:dyDescent="0.3">
      <c r="A7" s="7" t="s">
        <v>26</v>
      </c>
      <c r="B7" s="8" t="s">
        <v>8</v>
      </c>
      <c r="C7" s="3" t="s">
        <v>27</v>
      </c>
      <c r="D7" s="4">
        <v>39527</v>
      </c>
      <c r="E7" s="3">
        <v>100.5</v>
      </c>
      <c r="F7" s="3">
        <v>100.5</v>
      </c>
      <c r="G7" s="3">
        <v>100.5</v>
      </c>
      <c r="H7" s="3">
        <v>100.5</v>
      </c>
      <c r="I7" s="3">
        <v>192.8</v>
      </c>
      <c r="J7" s="28">
        <f t="shared" si="0"/>
        <v>0.21899634248847089</v>
      </c>
      <c r="K7" s="21">
        <f t="shared" ref="K7:K28" si="1">E7*8760/1000</f>
        <v>880.38</v>
      </c>
      <c r="L7" s="26">
        <f t="shared" ref="L7:L28" si="2">E7*8760/1000</f>
        <v>880.38</v>
      </c>
    </row>
    <row r="8" spans="1:14" x14ac:dyDescent="0.3">
      <c r="A8" s="7" t="s">
        <v>0</v>
      </c>
      <c r="B8" s="8" t="s">
        <v>1</v>
      </c>
      <c r="C8" s="3" t="s">
        <v>2</v>
      </c>
      <c r="D8" s="4">
        <v>39787</v>
      </c>
      <c r="E8" s="3">
        <v>125</v>
      </c>
      <c r="F8" s="3">
        <v>125</v>
      </c>
      <c r="G8" s="3">
        <v>125</v>
      </c>
      <c r="H8" s="3">
        <v>125</v>
      </c>
      <c r="I8" s="3">
        <v>245.5</v>
      </c>
      <c r="J8" s="28">
        <f t="shared" si="0"/>
        <v>0.22420091324200914</v>
      </c>
      <c r="K8" s="21">
        <f t="shared" si="1"/>
        <v>1095</v>
      </c>
      <c r="L8" s="26">
        <f t="shared" si="2"/>
        <v>1095</v>
      </c>
      <c r="N8" s="62" t="s">
        <v>188</v>
      </c>
    </row>
    <row r="9" spans="1:14" x14ac:dyDescent="0.3">
      <c r="A9" s="7" t="s">
        <v>28</v>
      </c>
      <c r="B9" s="8" t="s">
        <v>22</v>
      </c>
      <c r="C9" s="3" t="s">
        <v>29</v>
      </c>
      <c r="D9" s="4">
        <v>39728</v>
      </c>
      <c r="E9" s="3">
        <v>106.5</v>
      </c>
      <c r="F9" s="3">
        <v>106.5</v>
      </c>
      <c r="G9" s="3">
        <v>106.5</v>
      </c>
      <c r="H9" s="3">
        <v>106.5</v>
      </c>
      <c r="I9" s="3">
        <v>190.9</v>
      </c>
      <c r="J9" s="28">
        <f t="shared" si="0"/>
        <v>0.20462194782086737</v>
      </c>
      <c r="K9" s="21">
        <f t="shared" si="1"/>
        <v>932.94</v>
      </c>
      <c r="L9" s="26">
        <f t="shared" si="2"/>
        <v>932.94</v>
      </c>
      <c r="N9" s="62" t="s">
        <v>189</v>
      </c>
    </row>
    <row r="10" spans="1:14" x14ac:dyDescent="0.3">
      <c r="A10" s="7" t="s">
        <v>30</v>
      </c>
      <c r="B10" s="8" t="s">
        <v>22</v>
      </c>
      <c r="C10" s="3" t="s">
        <v>31</v>
      </c>
      <c r="D10" s="4">
        <v>39547</v>
      </c>
      <c r="E10" s="3">
        <v>100.5</v>
      </c>
      <c r="F10" s="3">
        <v>100.5</v>
      </c>
      <c r="G10" s="3">
        <v>100.5</v>
      </c>
      <c r="H10" s="3">
        <v>100.5</v>
      </c>
      <c r="I10" s="3">
        <v>146.9</v>
      </c>
      <c r="J10" s="28">
        <f t="shared" si="0"/>
        <v>0.16685976510143347</v>
      </c>
      <c r="K10" s="21">
        <f t="shared" si="1"/>
        <v>880.38</v>
      </c>
      <c r="L10" s="26">
        <f t="shared" si="2"/>
        <v>880.38</v>
      </c>
    </row>
    <row r="11" spans="1:14" x14ac:dyDescent="0.3">
      <c r="A11" s="7" t="s">
        <v>180</v>
      </c>
      <c r="B11" s="8" t="s">
        <v>12</v>
      </c>
      <c r="C11" s="3" t="s">
        <v>181</v>
      </c>
      <c r="D11" s="19">
        <v>43435</v>
      </c>
      <c r="E11" s="3">
        <v>79.900000000000006</v>
      </c>
      <c r="F11" s="3">
        <v>79.900000000000006</v>
      </c>
      <c r="G11" s="3">
        <v>0</v>
      </c>
      <c r="H11" s="3">
        <v>0</v>
      </c>
      <c r="I11" s="3">
        <v>8.1999999999999993</v>
      </c>
      <c r="J11" s="67">
        <f>(I11*1000)/(24*(31)*E11)</f>
        <v>0.1379412437589998</v>
      </c>
      <c r="K11" s="70">
        <f>E11*31*24/1000</f>
        <v>59.445600000000006</v>
      </c>
      <c r="L11" s="26">
        <f t="shared" si="2"/>
        <v>699.92399999999998</v>
      </c>
    </row>
    <row r="12" spans="1:14" x14ac:dyDescent="0.3">
      <c r="A12" s="7" t="s">
        <v>32</v>
      </c>
      <c r="B12" s="8" t="s">
        <v>22</v>
      </c>
      <c r="C12" s="3" t="s">
        <v>23</v>
      </c>
      <c r="D12" s="4">
        <v>39538</v>
      </c>
      <c r="E12" s="3">
        <v>81</v>
      </c>
      <c r="F12" s="3">
        <v>81</v>
      </c>
      <c r="G12" s="3">
        <v>81</v>
      </c>
      <c r="H12" s="3">
        <v>81</v>
      </c>
      <c r="I12" s="3">
        <v>144</v>
      </c>
      <c r="J12" s="28">
        <f t="shared" si="0"/>
        <v>0.20294266869609334</v>
      </c>
      <c r="K12" s="21">
        <f t="shared" si="1"/>
        <v>709.56</v>
      </c>
      <c r="L12" s="26">
        <f t="shared" si="2"/>
        <v>709.56</v>
      </c>
    </row>
    <row r="13" spans="1:14" x14ac:dyDescent="0.3">
      <c r="A13" s="7" t="s">
        <v>10</v>
      </c>
      <c r="B13" s="8" t="s">
        <v>8</v>
      </c>
      <c r="C13" s="3" t="s">
        <v>9</v>
      </c>
      <c r="D13" s="4">
        <v>40940</v>
      </c>
      <c r="E13" s="3">
        <v>15</v>
      </c>
      <c r="F13" s="3">
        <v>0</v>
      </c>
      <c r="G13" s="3">
        <v>0</v>
      </c>
      <c r="H13" s="3"/>
      <c r="I13" s="3">
        <v>26.2</v>
      </c>
      <c r="J13" s="28">
        <f t="shared" si="0"/>
        <v>0.19939117199391171</v>
      </c>
      <c r="K13" s="21">
        <f t="shared" si="1"/>
        <v>131.4</v>
      </c>
      <c r="L13" s="26">
        <f t="shared" si="2"/>
        <v>131.4</v>
      </c>
    </row>
    <row r="14" spans="1:14" x14ac:dyDescent="0.3">
      <c r="A14" s="7" t="s">
        <v>5</v>
      </c>
      <c r="B14" s="8" t="s">
        <v>1</v>
      </c>
      <c r="C14" s="3" t="s">
        <v>6</v>
      </c>
      <c r="D14" s="4">
        <v>37226</v>
      </c>
      <c r="E14" s="3">
        <v>30</v>
      </c>
      <c r="F14" s="3">
        <v>0</v>
      </c>
      <c r="G14" s="3">
        <v>0</v>
      </c>
      <c r="H14" s="3">
        <v>0</v>
      </c>
      <c r="I14" s="3">
        <v>54.5</v>
      </c>
      <c r="J14" s="28">
        <f t="shared" si="0"/>
        <v>0.2073820395738204</v>
      </c>
      <c r="K14" s="21">
        <f t="shared" si="1"/>
        <v>262.8</v>
      </c>
      <c r="L14" s="26">
        <f t="shared" si="2"/>
        <v>262.8</v>
      </c>
    </row>
    <row r="15" spans="1:14" x14ac:dyDescent="0.3">
      <c r="A15" s="7" t="s">
        <v>15</v>
      </c>
      <c r="B15" s="8" t="s">
        <v>12</v>
      </c>
      <c r="C15" s="3" t="s">
        <v>16</v>
      </c>
      <c r="D15" s="4">
        <v>40575</v>
      </c>
      <c r="E15" s="3">
        <v>74</v>
      </c>
      <c r="F15" s="3">
        <v>74</v>
      </c>
      <c r="G15" s="3">
        <v>74</v>
      </c>
      <c r="H15" s="3">
        <v>74</v>
      </c>
      <c r="I15" s="3">
        <v>176.8</v>
      </c>
      <c r="J15" s="28">
        <f t="shared" si="0"/>
        <v>0.27273849191657412</v>
      </c>
      <c r="K15" s="21">
        <f t="shared" si="1"/>
        <v>648.24</v>
      </c>
      <c r="L15" s="26">
        <f t="shared" si="2"/>
        <v>648.24</v>
      </c>
    </row>
    <row r="16" spans="1:14" x14ac:dyDescent="0.3">
      <c r="A16" s="7" t="s">
        <v>73</v>
      </c>
      <c r="B16" s="8" t="s">
        <v>1</v>
      </c>
      <c r="C16" s="3" t="s">
        <v>74</v>
      </c>
      <c r="D16" s="4">
        <v>39845</v>
      </c>
      <c r="E16" s="26">
        <v>112.5</v>
      </c>
      <c r="F16" s="26">
        <v>112.5</v>
      </c>
      <c r="G16" s="26">
        <v>112.5</v>
      </c>
      <c r="H16" s="26">
        <v>112.5</v>
      </c>
      <c r="I16" s="26">
        <v>247.7</v>
      </c>
      <c r="J16" s="52">
        <f t="shared" si="0"/>
        <v>0.25134449518011159</v>
      </c>
      <c r="K16" s="21">
        <f t="shared" si="1"/>
        <v>985.5</v>
      </c>
      <c r="L16" s="26">
        <f t="shared" si="2"/>
        <v>985.5</v>
      </c>
    </row>
    <row r="17" spans="1:12" x14ac:dyDescent="0.3">
      <c r="A17" s="7" t="s">
        <v>17</v>
      </c>
      <c r="B17" s="8" t="s">
        <v>1</v>
      </c>
      <c r="C17" s="3" t="s">
        <v>18</v>
      </c>
      <c r="D17" s="4">
        <v>40878</v>
      </c>
      <c r="E17" s="3">
        <v>57.4</v>
      </c>
      <c r="F17" s="3">
        <v>57.4</v>
      </c>
      <c r="G17" s="3">
        <v>57.4</v>
      </c>
      <c r="H17" s="3">
        <v>57.4</v>
      </c>
      <c r="I17" s="3">
        <v>125.1</v>
      </c>
      <c r="J17" s="28">
        <f t="shared" si="0"/>
        <v>0.24879480693045677</v>
      </c>
      <c r="K17" s="21">
        <f t="shared" si="1"/>
        <v>502.82400000000001</v>
      </c>
      <c r="L17" s="26">
        <f t="shared" si="2"/>
        <v>502.82400000000001</v>
      </c>
    </row>
    <row r="18" spans="1:12" x14ac:dyDescent="0.3">
      <c r="A18" s="7" t="s">
        <v>171</v>
      </c>
      <c r="B18" s="8" t="s">
        <v>22</v>
      </c>
      <c r="C18" s="3" t="s">
        <v>29</v>
      </c>
      <c r="D18" s="4">
        <v>42705</v>
      </c>
      <c r="E18" s="3">
        <v>77.7</v>
      </c>
      <c r="F18" s="3">
        <v>77.7</v>
      </c>
      <c r="G18" s="3">
        <v>77.7</v>
      </c>
      <c r="H18" s="3">
        <v>77.7</v>
      </c>
      <c r="I18" s="3">
        <v>226.1</v>
      </c>
      <c r="J18" s="28">
        <f t="shared" si="0"/>
        <v>0.33218149656505819</v>
      </c>
      <c r="K18" s="21">
        <f t="shared" si="1"/>
        <v>680.65200000000004</v>
      </c>
      <c r="L18" s="26">
        <f t="shared" si="2"/>
        <v>680.65200000000004</v>
      </c>
    </row>
    <row r="19" spans="1:12" x14ac:dyDescent="0.3">
      <c r="A19" s="7" t="s">
        <v>19</v>
      </c>
      <c r="B19" s="8" t="s">
        <v>12</v>
      </c>
      <c r="C19" s="3" t="s">
        <v>20</v>
      </c>
      <c r="D19" s="4">
        <v>36770</v>
      </c>
      <c r="E19" s="3">
        <v>11.6</v>
      </c>
      <c r="F19" s="3">
        <v>11.5</v>
      </c>
      <c r="G19" s="3">
        <v>11.6</v>
      </c>
      <c r="H19" s="3">
        <v>11.6</v>
      </c>
      <c r="I19" s="3">
        <v>18.7</v>
      </c>
      <c r="J19" s="28">
        <f t="shared" si="0"/>
        <v>0.18402613761612344</v>
      </c>
      <c r="K19" s="21">
        <f t="shared" si="1"/>
        <v>101.616</v>
      </c>
      <c r="L19" s="26">
        <f t="shared" si="2"/>
        <v>101.616</v>
      </c>
    </row>
    <row r="20" spans="1:12" x14ac:dyDescent="0.3">
      <c r="A20" s="7" t="s">
        <v>14</v>
      </c>
      <c r="B20" s="8" t="s">
        <v>12</v>
      </c>
      <c r="C20" s="3" t="s">
        <v>13</v>
      </c>
      <c r="D20" s="4">
        <v>38718</v>
      </c>
      <c r="E20" s="3">
        <v>231</v>
      </c>
      <c r="F20" s="3">
        <v>231</v>
      </c>
      <c r="G20" s="3">
        <v>231</v>
      </c>
      <c r="H20" s="3">
        <v>231</v>
      </c>
      <c r="I20" s="3">
        <v>536</v>
      </c>
      <c r="J20" s="28">
        <f t="shared" si="0"/>
        <v>0.26487971693451146</v>
      </c>
      <c r="K20" s="21">
        <f t="shared" si="1"/>
        <v>2023.56</v>
      </c>
      <c r="L20" s="26">
        <f t="shared" si="2"/>
        <v>2023.56</v>
      </c>
    </row>
    <row r="21" spans="1:12" x14ac:dyDescent="0.3">
      <c r="A21" s="7" t="s">
        <v>11</v>
      </c>
      <c r="B21" s="8" t="s">
        <v>12</v>
      </c>
      <c r="C21" s="3" t="s">
        <v>13</v>
      </c>
      <c r="D21" s="4">
        <v>39417</v>
      </c>
      <c r="E21" s="3">
        <v>90.7</v>
      </c>
      <c r="F21" s="3">
        <v>90.7</v>
      </c>
      <c r="G21" s="3">
        <v>90.7</v>
      </c>
      <c r="H21" s="3">
        <v>90.8</v>
      </c>
      <c r="I21" s="3">
        <v>203.2</v>
      </c>
      <c r="J21" s="28">
        <f t="shared" si="0"/>
        <v>0.25574803783862704</v>
      </c>
      <c r="K21" s="21">
        <f t="shared" si="1"/>
        <v>794.53200000000004</v>
      </c>
      <c r="L21" s="26">
        <f t="shared" si="2"/>
        <v>794.53200000000004</v>
      </c>
    </row>
    <row r="22" spans="1:12" x14ac:dyDescent="0.3">
      <c r="A22" s="7" t="s">
        <v>21</v>
      </c>
      <c r="B22" s="8" t="s">
        <v>22</v>
      </c>
      <c r="C22" s="3" t="s">
        <v>23</v>
      </c>
      <c r="D22" s="4">
        <v>41091</v>
      </c>
      <c r="E22" s="3">
        <v>215.5</v>
      </c>
      <c r="F22" s="3">
        <v>0</v>
      </c>
      <c r="G22" s="3">
        <v>0</v>
      </c>
      <c r="H22" s="3">
        <v>0</v>
      </c>
      <c r="I22" s="3">
        <v>488.9</v>
      </c>
      <c r="J22" s="28">
        <f t="shared" si="0"/>
        <v>0.25898144910953608</v>
      </c>
      <c r="K22" s="21">
        <f t="shared" si="1"/>
        <v>1887.78</v>
      </c>
      <c r="L22" s="26">
        <f t="shared" si="2"/>
        <v>1887.78</v>
      </c>
    </row>
    <row r="23" spans="1:12" x14ac:dyDescent="0.3">
      <c r="A23" s="7" t="s">
        <v>150</v>
      </c>
      <c r="B23" s="8" t="s">
        <v>1</v>
      </c>
      <c r="C23" s="3" t="s">
        <v>151</v>
      </c>
      <c r="D23" s="4">
        <v>41974</v>
      </c>
      <c r="E23" s="3">
        <v>16.2</v>
      </c>
      <c r="F23" s="3">
        <v>0</v>
      </c>
      <c r="G23" s="3">
        <v>0</v>
      </c>
      <c r="H23" s="3">
        <v>0</v>
      </c>
      <c r="I23" s="3">
        <v>46.4</v>
      </c>
      <c r="J23" s="28">
        <f t="shared" si="0"/>
        <v>0.32696318845481709</v>
      </c>
      <c r="K23" s="21">
        <f t="shared" si="1"/>
        <v>141.91200000000001</v>
      </c>
      <c r="L23" s="26">
        <f t="shared" si="2"/>
        <v>141.91200000000001</v>
      </c>
    </row>
    <row r="24" spans="1:12" x14ac:dyDescent="0.3">
      <c r="A24" s="7" t="s">
        <v>35</v>
      </c>
      <c r="B24" s="8" t="s">
        <v>12</v>
      </c>
      <c r="C24" s="3" t="s">
        <v>36</v>
      </c>
      <c r="D24" s="4">
        <v>39314</v>
      </c>
      <c r="E24" s="3">
        <v>34.5</v>
      </c>
      <c r="F24" s="3">
        <v>34.5</v>
      </c>
      <c r="G24" s="3">
        <v>34.5</v>
      </c>
      <c r="H24" s="3">
        <v>34.5</v>
      </c>
      <c r="I24" s="3">
        <v>58.2</v>
      </c>
      <c r="J24" s="28">
        <f t="shared" si="0"/>
        <v>0.19257494540401032</v>
      </c>
      <c r="K24" s="21">
        <f t="shared" si="1"/>
        <v>302.22000000000003</v>
      </c>
      <c r="L24" s="26">
        <f t="shared" si="2"/>
        <v>302.22000000000003</v>
      </c>
    </row>
    <row r="25" spans="1:12" x14ac:dyDescent="0.3">
      <c r="A25" s="7" t="s">
        <v>144</v>
      </c>
      <c r="B25" s="8" t="s">
        <v>1</v>
      </c>
      <c r="C25" s="3" t="s">
        <v>145</v>
      </c>
      <c r="D25" s="4">
        <v>41609</v>
      </c>
      <c r="E25" s="3">
        <v>93.9</v>
      </c>
      <c r="F25" s="3">
        <v>88.5</v>
      </c>
      <c r="G25" s="3">
        <v>93.9</v>
      </c>
      <c r="H25" s="3">
        <v>93.9</v>
      </c>
      <c r="I25" s="3">
        <v>289.60000000000002</v>
      </c>
      <c r="J25" s="28">
        <f t="shared" si="0"/>
        <v>0.35206986933539519</v>
      </c>
      <c r="K25" s="21">
        <f t="shared" si="1"/>
        <v>822.56399999999996</v>
      </c>
      <c r="L25" s="26">
        <f t="shared" si="2"/>
        <v>822.56399999999996</v>
      </c>
    </row>
    <row r="26" spans="1:12" x14ac:dyDescent="0.3">
      <c r="A26" s="7" t="s">
        <v>7</v>
      </c>
      <c r="B26" s="8" t="s">
        <v>8</v>
      </c>
      <c r="C26" s="3" t="s">
        <v>9</v>
      </c>
      <c r="D26" s="4">
        <v>39105</v>
      </c>
      <c r="E26" s="3">
        <v>20</v>
      </c>
      <c r="F26" s="3">
        <v>20</v>
      </c>
      <c r="G26" s="3">
        <v>20</v>
      </c>
      <c r="H26" s="3">
        <v>20</v>
      </c>
      <c r="I26" s="3">
        <v>46.9</v>
      </c>
      <c r="J26" s="28">
        <f>(I26*1000)/(8760*E26)</f>
        <v>0.26769406392694062</v>
      </c>
      <c r="K26" s="21">
        <f t="shared" si="1"/>
        <v>175.2</v>
      </c>
      <c r="L26" s="26">
        <f t="shared" si="2"/>
        <v>175.2</v>
      </c>
    </row>
    <row r="27" spans="1:12" x14ac:dyDescent="0.3">
      <c r="A27" s="7" t="s">
        <v>37</v>
      </c>
      <c r="B27" s="8" t="s">
        <v>38</v>
      </c>
      <c r="C27" s="3" t="s">
        <v>34</v>
      </c>
      <c r="D27" s="4">
        <v>36800</v>
      </c>
      <c r="E27" s="3">
        <v>6.6</v>
      </c>
      <c r="F27" s="3">
        <v>6.6</v>
      </c>
      <c r="G27" s="3">
        <v>0</v>
      </c>
      <c r="H27" s="3">
        <v>0</v>
      </c>
      <c r="I27" s="3">
        <v>4.5999999999999996</v>
      </c>
      <c r="J27" s="28">
        <f>(I27*1000)/(8760*E27)</f>
        <v>7.956275079562751E-2</v>
      </c>
      <c r="K27" s="21">
        <f t="shared" si="1"/>
        <v>57.816000000000003</v>
      </c>
      <c r="L27" s="26">
        <f t="shared" si="2"/>
        <v>57.816000000000003</v>
      </c>
    </row>
    <row r="28" spans="1:12" x14ac:dyDescent="0.3">
      <c r="A28" s="7" t="s">
        <v>33</v>
      </c>
      <c r="B28" s="8" t="s">
        <v>1</v>
      </c>
      <c r="C28" s="3" t="s">
        <v>34</v>
      </c>
      <c r="D28" s="4">
        <v>39793</v>
      </c>
      <c r="E28" s="3">
        <v>126</v>
      </c>
      <c r="F28" s="3">
        <v>126</v>
      </c>
      <c r="G28" s="3">
        <v>126</v>
      </c>
      <c r="H28" s="3">
        <v>126</v>
      </c>
      <c r="I28" s="3">
        <v>257.3</v>
      </c>
      <c r="J28" s="28">
        <f>(I28*1000)/(8760*E28)</f>
        <v>0.23311227078350366</v>
      </c>
      <c r="K28" s="21">
        <f t="shared" si="1"/>
        <v>1103.76</v>
      </c>
      <c r="L28" s="26">
        <f t="shared" si="2"/>
        <v>1103.76</v>
      </c>
    </row>
    <row r="29" spans="1:12" x14ac:dyDescent="0.3">
      <c r="A29" s="7" t="s">
        <v>66</v>
      </c>
      <c r="B29" s="3"/>
      <c r="C29" s="3"/>
      <c r="D29" s="3"/>
      <c r="E29" s="3">
        <f>SUM(E5:E28)</f>
        <v>1981.9</v>
      </c>
      <c r="F29" s="3">
        <f>SUM(F5:F28)</f>
        <v>1621.3</v>
      </c>
      <c r="G29" s="3">
        <f>SUM(G5:G28)</f>
        <v>1540.3000000000002</v>
      </c>
      <c r="H29" s="3">
        <f>SUM(H5:H28)</f>
        <v>1540.4</v>
      </c>
      <c r="I29" s="3">
        <f>SUM(I5:I28)</f>
        <v>3985.1</v>
      </c>
      <c r="J29" s="28">
        <f>I29/K29</f>
        <v>0.24502978921793667</v>
      </c>
      <c r="K29" s="21">
        <f>SUM(K5:K28)</f>
        <v>16263.736800000001</v>
      </c>
      <c r="L29" s="26">
        <f>E29*8760/1000</f>
        <v>17361.444</v>
      </c>
    </row>
    <row r="30" spans="1:12" x14ac:dyDescent="0.3">
      <c r="F30" t="s">
        <v>186</v>
      </c>
      <c r="I30">
        <f>I29-I6-I11</f>
        <v>3894.9</v>
      </c>
      <c r="J30" s="28">
        <f>I30/K30</f>
        <v>0.24381623583638565</v>
      </c>
      <c r="K30">
        <f>K29-K6-K11</f>
        <v>15974.736000000001</v>
      </c>
    </row>
    <row r="31" spans="1:12" x14ac:dyDescent="0.3">
      <c r="A31" s="76" t="s">
        <v>176</v>
      </c>
      <c r="E31">
        <f>E14+E19+E20+E27</f>
        <v>279.20000000000005</v>
      </c>
      <c r="F31">
        <f t="shared" ref="F31:I31" si="3">F14+F19+F20+F27</f>
        <v>249.1</v>
      </c>
      <c r="G31">
        <f t="shared" si="3"/>
        <v>242.6</v>
      </c>
      <c r="H31">
        <f t="shared" si="3"/>
        <v>242.6</v>
      </c>
      <c r="I31">
        <f t="shared" si="3"/>
        <v>613.80000000000007</v>
      </c>
    </row>
  </sheetData>
  <hyperlinks>
    <hyperlink ref="N8" r:id="rId1" xr:uid="{BE66C79D-27D5-4A9E-913C-777146E1686F}"/>
    <hyperlink ref="N9" r:id="rId2" xr:uid="{1205E79B-942B-4951-A2EB-6B860105B99D}"/>
  </hyperlinks>
  <pageMargins left="0.7" right="0.7" top="0.75" bottom="0.75" header="0.3" footer="0.3"/>
  <pageSetup scale="92" orientation="portrait" horizontalDpi="200" verticalDpi="200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29"/>
  <sheetViews>
    <sheetView topLeftCell="A10" workbookViewId="0">
      <selection activeCell="A7" sqref="A7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2" x14ac:dyDescent="0.3">
      <c r="A1" t="s">
        <v>173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174</v>
      </c>
      <c r="H3" s="9"/>
      <c r="I3" s="9" t="s">
        <v>175</v>
      </c>
      <c r="J3" s="10" t="s">
        <v>64</v>
      </c>
      <c r="K3" s="32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2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20">
        <v>175.6</v>
      </c>
      <c r="J5" s="6">
        <f t="shared" ref="J5:J23" si="0">(I5*1000)/(8760*E5)</f>
        <v>0.20559653436365766</v>
      </c>
      <c r="K5" s="22">
        <f>E5*8760/1000</f>
        <v>854.1</v>
      </c>
      <c r="L5" s="24">
        <f>E5*8760/1000</f>
        <v>854.1</v>
      </c>
    </row>
    <row r="6" spans="1:12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20">
        <v>210.4</v>
      </c>
      <c r="J6" s="6">
        <f t="shared" si="0"/>
        <v>0.23898770985256368</v>
      </c>
      <c r="K6" s="22">
        <f t="shared" ref="K6:K26" si="1">E6*8760/1000</f>
        <v>880.38</v>
      </c>
      <c r="L6" s="24">
        <f t="shared" ref="L6:L26" si="2">E6*8760/1000</f>
        <v>880.38</v>
      </c>
    </row>
    <row r="7" spans="1:12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20">
        <v>264.60000000000002</v>
      </c>
      <c r="J7" s="6">
        <f t="shared" si="0"/>
        <v>0.24164383561643835</v>
      </c>
      <c r="K7" s="22">
        <f t="shared" si="1"/>
        <v>1095</v>
      </c>
      <c r="L7" s="24">
        <f t="shared" si="2"/>
        <v>1095</v>
      </c>
    </row>
    <row r="8" spans="1:12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20">
        <v>208.5</v>
      </c>
      <c r="J8" s="6">
        <f t="shared" si="0"/>
        <v>0.22348704096726477</v>
      </c>
      <c r="K8" s="22">
        <f t="shared" si="1"/>
        <v>932.94</v>
      </c>
      <c r="L8" s="24">
        <f t="shared" si="2"/>
        <v>932.94</v>
      </c>
    </row>
    <row r="9" spans="1:12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20">
        <v>170.9</v>
      </c>
      <c r="J9" s="6">
        <f t="shared" si="0"/>
        <v>0.19412072059792362</v>
      </c>
      <c r="K9" s="22">
        <f t="shared" si="1"/>
        <v>880.38</v>
      </c>
      <c r="L9" s="24">
        <f t="shared" si="2"/>
        <v>880.38</v>
      </c>
    </row>
    <row r="10" spans="1:12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20">
        <v>173.2</v>
      </c>
      <c r="J10" s="6">
        <f t="shared" si="0"/>
        <v>0.24409493207057895</v>
      </c>
      <c r="K10" s="22">
        <f t="shared" si="1"/>
        <v>709.56</v>
      </c>
      <c r="L10" s="24">
        <f t="shared" si="2"/>
        <v>709.56</v>
      </c>
    </row>
    <row r="11" spans="1:12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/>
      <c r="I11" s="20">
        <v>36.799999999999997</v>
      </c>
      <c r="J11" s="6">
        <f t="shared" si="0"/>
        <v>0.28006088280060881</v>
      </c>
      <c r="K11" s="22">
        <f t="shared" si="1"/>
        <v>131.4</v>
      </c>
      <c r="L11" s="24">
        <f t="shared" si="2"/>
        <v>131.4</v>
      </c>
    </row>
    <row r="12" spans="1:12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0</v>
      </c>
      <c r="G12" s="3">
        <v>0</v>
      </c>
      <c r="H12" s="3">
        <v>0</v>
      </c>
      <c r="I12" s="20">
        <v>44.4</v>
      </c>
      <c r="J12" s="6">
        <f t="shared" si="0"/>
        <v>0.16894977168949771</v>
      </c>
      <c r="K12" s="22">
        <f t="shared" si="1"/>
        <v>262.8</v>
      </c>
      <c r="L12" s="24">
        <f t="shared" si="2"/>
        <v>262.8</v>
      </c>
    </row>
    <row r="13" spans="1:12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20">
        <v>177.6</v>
      </c>
      <c r="J13" s="6">
        <f t="shared" si="0"/>
        <v>0.27397260273972601</v>
      </c>
      <c r="K13" s="22">
        <f t="shared" si="1"/>
        <v>648.24</v>
      </c>
      <c r="L13" s="24">
        <f t="shared" si="2"/>
        <v>648.24</v>
      </c>
    </row>
    <row r="14" spans="1:12" x14ac:dyDescent="0.3">
      <c r="A14" s="7" t="s">
        <v>73</v>
      </c>
      <c r="B14" s="8" t="s">
        <v>1</v>
      </c>
      <c r="C14" s="20" t="s">
        <v>74</v>
      </c>
      <c r="D14" s="4">
        <v>39845</v>
      </c>
      <c r="E14" s="24">
        <v>112.5</v>
      </c>
      <c r="F14" s="24">
        <v>112.5</v>
      </c>
      <c r="G14" s="24">
        <v>112.5</v>
      </c>
      <c r="H14" s="24">
        <v>112.5</v>
      </c>
      <c r="I14" s="24">
        <v>268.39999999999998</v>
      </c>
      <c r="J14" s="52">
        <f t="shared" si="0"/>
        <v>0.2723490613901573</v>
      </c>
      <c r="K14" s="22">
        <f t="shared" si="1"/>
        <v>985.5</v>
      </c>
      <c r="L14" s="24">
        <f t="shared" si="2"/>
        <v>985.5</v>
      </c>
    </row>
    <row r="15" spans="1:12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57.4</v>
      </c>
      <c r="F15" s="3">
        <v>57.4</v>
      </c>
      <c r="G15" s="3">
        <v>57.4</v>
      </c>
      <c r="H15" s="3">
        <v>57.4</v>
      </c>
      <c r="I15" s="20">
        <v>133.6</v>
      </c>
      <c r="J15" s="6">
        <f t="shared" si="0"/>
        <v>0.26569933018312569</v>
      </c>
      <c r="K15" s="22">
        <f t="shared" si="1"/>
        <v>502.82400000000001</v>
      </c>
      <c r="L15" s="24">
        <f t="shared" si="2"/>
        <v>502.82400000000001</v>
      </c>
    </row>
    <row r="16" spans="1:12" x14ac:dyDescent="0.3">
      <c r="A16" s="13" t="s">
        <v>171</v>
      </c>
      <c r="B16" s="8" t="s">
        <v>22</v>
      </c>
      <c r="C16" s="3" t="s">
        <v>29</v>
      </c>
      <c r="D16" s="4">
        <v>42705</v>
      </c>
      <c r="E16" s="3">
        <v>77.7</v>
      </c>
      <c r="F16" s="3">
        <v>77.7</v>
      </c>
      <c r="G16" s="3">
        <v>77.7</v>
      </c>
      <c r="H16" s="3">
        <v>77.7</v>
      </c>
      <c r="I16" s="20">
        <v>246.3</v>
      </c>
      <c r="J16" s="67">
        <f t="shared" ref="J16" si="3">(I16*1000)/(8760*E16)</f>
        <v>0.36185892350275911</v>
      </c>
      <c r="K16" s="22">
        <f t="shared" si="1"/>
        <v>680.65200000000004</v>
      </c>
      <c r="L16" s="24">
        <f t="shared" si="2"/>
        <v>680.65200000000004</v>
      </c>
    </row>
    <row r="17" spans="1:12" x14ac:dyDescent="0.3">
      <c r="A17" s="7" t="s">
        <v>19</v>
      </c>
      <c r="B17" s="8" t="s">
        <v>12</v>
      </c>
      <c r="C17" s="3" t="s">
        <v>20</v>
      </c>
      <c r="D17" s="4">
        <v>36770</v>
      </c>
      <c r="E17" s="3">
        <v>11.6</v>
      </c>
      <c r="F17" s="3">
        <v>11.5</v>
      </c>
      <c r="G17" s="3">
        <v>11.6</v>
      </c>
      <c r="H17" s="3">
        <v>11.6</v>
      </c>
      <c r="I17" s="20">
        <v>20.8</v>
      </c>
      <c r="J17" s="6">
        <f t="shared" si="0"/>
        <v>0.20469217446071486</v>
      </c>
      <c r="K17" s="22">
        <f t="shared" si="1"/>
        <v>101.616</v>
      </c>
      <c r="L17" s="24">
        <f t="shared" si="2"/>
        <v>101.616</v>
      </c>
    </row>
    <row r="18" spans="1:12" x14ac:dyDescent="0.3">
      <c r="A18" s="7" t="s">
        <v>14</v>
      </c>
      <c r="B18" s="8" t="s">
        <v>12</v>
      </c>
      <c r="C18" s="3" t="s">
        <v>13</v>
      </c>
      <c r="D18" s="4">
        <v>38718</v>
      </c>
      <c r="E18" s="3">
        <v>231</v>
      </c>
      <c r="F18" s="3">
        <v>231</v>
      </c>
      <c r="G18" s="3">
        <v>231</v>
      </c>
      <c r="H18" s="3">
        <v>231</v>
      </c>
      <c r="I18" s="20">
        <v>570.5</v>
      </c>
      <c r="J18" s="6">
        <f t="shared" si="0"/>
        <v>0.28192887781928877</v>
      </c>
      <c r="K18" s="22">
        <f t="shared" si="1"/>
        <v>2023.56</v>
      </c>
      <c r="L18" s="24">
        <f t="shared" si="2"/>
        <v>2023.56</v>
      </c>
    </row>
    <row r="19" spans="1:12" x14ac:dyDescent="0.3">
      <c r="A19" s="7" t="s">
        <v>11</v>
      </c>
      <c r="B19" s="8" t="s">
        <v>12</v>
      </c>
      <c r="C19" s="3" t="s">
        <v>13</v>
      </c>
      <c r="D19" s="4">
        <v>39417</v>
      </c>
      <c r="E19" s="3">
        <v>90.7</v>
      </c>
      <c r="F19" s="3">
        <v>90.7</v>
      </c>
      <c r="G19" s="3">
        <v>90.7</v>
      </c>
      <c r="H19" s="3">
        <v>90.8</v>
      </c>
      <c r="I19" s="20">
        <v>218.6</v>
      </c>
      <c r="J19" s="6">
        <f t="shared" si="0"/>
        <v>0.275130517084271</v>
      </c>
      <c r="K19" s="22">
        <f t="shared" si="1"/>
        <v>794.53200000000004</v>
      </c>
      <c r="L19" s="24">
        <f t="shared" si="2"/>
        <v>794.53200000000004</v>
      </c>
    </row>
    <row r="20" spans="1:12" x14ac:dyDescent="0.3">
      <c r="A20" s="7" t="s">
        <v>21</v>
      </c>
      <c r="B20" s="8" t="s">
        <v>22</v>
      </c>
      <c r="C20" s="3" t="s">
        <v>23</v>
      </c>
      <c r="D20" s="4">
        <v>41091</v>
      </c>
      <c r="E20" s="3">
        <v>215.5</v>
      </c>
      <c r="F20" s="3">
        <v>0</v>
      </c>
      <c r="G20" s="3">
        <v>0</v>
      </c>
      <c r="H20" s="3">
        <v>0</v>
      </c>
      <c r="I20" s="20">
        <v>542.20000000000005</v>
      </c>
      <c r="J20" s="6">
        <f t="shared" si="0"/>
        <v>0.28721567131763237</v>
      </c>
      <c r="K20" s="22">
        <f t="shared" si="1"/>
        <v>1887.78</v>
      </c>
      <c r="L20" s="24">
        <f t="shared" si="2"/>
        <v>1887.78</v>
      </c>
    </row>
    <row r="21" spans="1:12" x14ac:dyDescent="0.3">
      <c r="A21" s="13" t="s">
        <v>150</v>
      </c>
      <c r="B21" s="27" t="s">
        <v>1</v>
      </c>
      <c r="C21" s="20" t="s">
        <v>151</v>
      </c>
      <c r="D21" s="23">
        <v>41974</v>
      </c>
      <c r="E21" s="20">
        <v>16.2</v>
      </c>
      <c r="F21" s="20">
        <v>0</v>
      </c>
      <c r="G21" s="20">
        <v>0</v>
      </c>
      <c r="H21" s="20">
        <v>0</v>
      </c>
      <c r="I21" s="20">
        <v>48.8</v>
      </c>
      <c r="J21" s="28">
        <f t="shared" si="0"/>
        <v>0.34387507751282487</v>
      </c>
      <c r="K21" s="22">
        <f t="shared" si="1"/>
        <v>141.91200000000001</v>
      </c>
      <c r="L21" s="24">
        <f t="shared" si="2"/>
        <v>141.91200000000001</v>
      </c>
    </row>
    <row r="22" spans="1:12" x14ac:dyDescent="0.3">
      <c r="A22" s="7" t="s">
        <v>35</v>
      </c>
      <c r="B22" s="8" t="s">
        <v>12</v>
      </c>
      <c r="C22" s="3" t="s">
        <v>36</v>
      </c>
      <c r="D22" s="4">
        <v>39314</v>
      </c>
      <c r="E22" s="3">
        <v>34.5</v>
      </c>
      <c r="F22" s="3">
        <v>34.5</v>
      </c>
      <c r="G22" s="3">
        <v>34.5</v>
      </c>
      <c r="H22" s="3">
        <v>34.5</v>
      </c>
      <c r="I22" s="20">
        <v>96.7</v>
      </c>
      <c r="J22" s="6">
        <f t="shared" si="0"/>
        <v>0.3199655879822646</v>
      </c>
      <c r="K22" s="22">
        <f t="shared" si="1"/>
        <v>302.22000000000003</v>
      </c>
      <c r="L22" s="24">
        <f t="shared" si="2"/>
        <v>302.22000000000003</v>
      </c>
    </row>
    <row r="23" spans="1:12" x14ac:dyDescent="0.3">
      <c r="A23" s="7" t="s">
        <v>144</v>
      </c>
      <c r="B23" s="8" t="s">
        <v>1</v>
      </c>
      <c r="C23" s="3" t="s">
        <v>145</v>
      </c>
      <c r="D23" s="4">
        <v>41609</v>
      </c>
      <c r="E23" s="3">
        <v>93.9</v>
      </c>
      <c r="F23" s="3">
        <v>88.5</v>
      </c>
      <c r="G23" s="3">
        <v>93.9</v>
      </c>
      <c r="H23" s="3">
        <v>93.9</v>
      </c>
      <c r="I23" s="20">
        <v>279.89999999999998</v>
      </c>
      <c r="J23" s="6">
        <f t="shared" si="0"/>
        <v>0.34027747385005908</v>
      </c>
      <c r="K23" s="22">
        <f t="shared" si="1"/>
        <v>822.56399999999996</v>
      </c>
      <c r="L23" s="24">
        <f t="shared" si="2"/>
        <v>822.56399999999996</v>
      </c>
    </row>
    <row r="24" spans="1:12" x14ac:dyDescent="0.3">
      <c r="A24" s="7" t="s">
        <v>7</v>
      </c>
      <c r="B24" s="8" t="s">
        <v>8</v>
      </c>
      <c r="C24" s="3" t="s">
        <v>9</v>
      </c>
      <c r="D24" s="4">
        <v>39105</v>
      </c>
      <c r="E24" s="3">
        <v>20</v>
      </c>
      <c r="F24" s="3">
        <v>20</v>
      </c>
      <c r="G24" s="3">
        <v>20</v>
      </c>
      <c r="H24" s="3">
        <v>20</v>
      </c>
      <c r="I24" s="20">
        <v>51.8</v>
      </c>
      <c r="J24" s="6">
        <f>(I24*1000)/(8760*E24)</f>
        <v>0.295662100456621</v>
      </c>
      <c r="K24" s="22">
        <f t="shared" si="1"/>
        <v>175.2</v>
      </c>
      <c r="L24" s="24">
        <f t="shared" si="2"/>
        <v>175.2</v>
      </c>
    </row>
    <row r="25" spans="1:12" x14ac:dyDescent="0.3">
      <c r="A25" s="7" t="s">
        <v>37</v>
      </c>
      <c r="B25" s="8" t="s">
        <v>38</v>
      </c>
      <c r="C25" s="3" t="s">
        <v>34</v>
      </c>
      <c r="D25" s="4">
        <v>36800</v>
      </c>
      <c r="E25" s="3">
        <v>6.6</v>
      </c>
      <c r="F25" s="3">
        <v>6.6</v>
      </c>
      <c r="G25" s="3">
        <v>0</v>
      </c>
      <c r="H25" s="3">
        <v>0</v>
      </c>
      <c r="I25" s="20">
        <v>7.1</v>
      </c>
      <c r="J25" s="6">
        <f>(I25*1000)/(8760*E25)</f>
        <v>0.12280337622803376</v>
      </c>
      <c r="K25" s="22">
        <f t="shared" si="1"/>
        <v>57.816000000000003</v>
      </c>
      <c r="L25" s="24">
        <f t="shared" si="2"/>
        <v>57.816000000000003</v>
      </c>
    </row>
    <row r="26" spans="1:12" x14ac:dyDescent="0.3">
      <c r="A26" s="7" t="s">
        <v>33</v>
      </c>
      <c r="B26" s="8" t="s">
        <v>1</v>
      </c>
      <c r="C26" s="3" t="s">
        <v>34</v>
      </c>
      <c r="D26" s="4">
        <v>39793</v>
      </c>
      <c r="E26" s="3">
        <v>126</v>
      </c>
      <c r="F26" s="3">
        <v>126</v>
      </c>
      <c r="G26" s="3">
        <v>126</v>
      </c>
      <c r="H26" s="3">
        <v>126</v>
      </c>
      <c r="I26" s="20">
        <v>272.10000000000002</v>
      </c>
      <c r="J26" s="6">
        <f>(I26*1000)/(8760*E26)</f>
        <v>0.24652098282235269</v>
      </c>
      <c r="K26" s="22">
        <f t="shared" si="1"/>
        <v>1103.76</v>
      </c>
      <c r="L26" s="24">
        <f t="shared" si="2"/>
        <v>1103.76</v>
      </c>
    </row>
    <row r="27" spans="1:12" x14ac:dyDescent="0.3">
      <c r="A27" s="13" t="s">
        <v>66</v>
      </c>
      <c r="B27" s="3"/>
      <c r="C27" s="3"/>
      <c r="D27" s="3"/>
      <c r="E27" s="3">
        <f>SUM(E5:E26)</f>
        <v>1823.6000000000001</v>
      </c>
      <c r="F27" s="3">
        <f>SUM(F5:F26)</f>
        <v>1541.3999999999999</v>
      </c>
      <c r="G27" s="3">
        <f>SUM(G5:G26)</f>
        <v>1540.3000000000002</v>
      </c>
      <c r="H27" s="3">
        <f>SUM(H5:H26)</f>
        <v>1540.4</v>
      </c>
      <c r="I27" s="3">
        <f>SUM(I5:I26)</f>
        <v>4218.8000000000011</v>
      </c>
      <c r="J27" s="6">
        <f>I27/K27</f>
        <v>0.26409200127000537</v>
      </c>
      <c r="K27" s="21">
        <f>SUM(K5:K26)</f>
        <v>15974.736000000001</v>
      </c>
      <c r="L27" s="24">
        <f>E27*8760/1000</f>
        <v>15974.736000000003</v>
      </c>
    </row>
    <row r="29" spans="1:12" x14ac:dyDescent="0.3">
      <c r="A29" s="68" t="s">
        <v>176</v>
      </c>
      <c r="E29">
        <f>E12+E17+E18+E25</f>
        <v>279.20000000000005</v>
      </c>
      <c r="F29">
        <f t="shared" ref="F29:I29" si="4">F12+F17+F18+F25</f>
        <v>249.1</v>
      </c>
      <c r="G29">
        <f t="shared" si="4"/>
        <v>242.6</v>
      </c>
      <c r="H29">
        <f t="shared" si="4"/>
        <v>242.6</v>
      </c>
      <c r="I29">
        <f t="shared" si="4"/>
        <v>642.80000000000007</v>
      </c>
      <c r="K29" s="3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29"/>
  <sheetViews>
    <sheetView topLeftCell="A3" workbookViewId="0">
      <pane ySplit="2" topLeftCell="A11" activePane="bottomLeft" state="frozen"/>
      <selection activeCell="A3" sqref="A3"/>
      <selection pane="bottomLeft" activeCell="A29" sqref="A29:I29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1" x14ac:dyDescent="0.3">
      <c r="A1" t="s">
        <v>168</v>
      </c>
    </row>
    <row r="3" spans="1:11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169</v>
      </c>
      <c r="H3" s="9"/>
      <c r="I3" s="9" t="s">
        <v>170</v>
      </c>
      <c r="J3" s="10" t="s">
        <v>64</v>
      </c>
      <c r="K3" s="32" t="s">
        <v>93</v>
      </c>
    </row>
    <row r="4" spans="1:11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1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20">
        <v>170.1</v>
      </c>
      <c r="J5" s="6">
        <f t="shared" ref="J5:J23" si="0">(I5*1000)/(8760*E5)</f>
        <v>0.19915700737618547</v>
      </c>
      <c r="K5" s="22">
        <f>E5*8760/1000</f>
        <v>854.1</v>
      </c>
    </row>
    <row r="6" spans="1:11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20">
        <v>204.4</v>
      </c>
      <c r="J6" s="6">
        <f t="shared" si="0"/>
        <v>0.23217247097844113</v>
      </c>
      <c r="K6" s="22">
        <f t="shared" ref="K6:K14" si="1">E6*8760/1000</f>
        <v>880.38</v>
      </c>
    </row>
    <row r="7" spans="1:11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20">
        <v>258.7</v>
      </c>
      <c r="J7" s="6">
        <f t="shared" si="0"/>
        <v>0.23625570776255708</v>
      </c>
      <c r="K7" s="22">
        <f t="shared" si="1"/>
        <v>1095</v>
      </c>
    </row>
    <row r="8" spans="1:11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20">
        <v>209.6</v>
      </c>
      <c r="J8" s="6">
        <f t="shared" si="0"/>
        <v>0.22466610928891462</v>
      </c>
      <c r="K8" s="22">
        <f t="shared" si="1"/>
        <v>932.94</v>
      </c>
    </row>
    <row r="9" spans="1:11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20">
        <v>175.1</v>
      </c>
      <c r="J9" s="6">
        <f t="shared" si="0"/>
        <v>0.19889138780980939</v>
      </c>
      <c r="K9" s="22">
        <f t="shared" si="1"/>
        <v>880.38</v>
      </c>
    </row>
    <row r="10" spans="1:11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20">
        <v>168.8</v>
      </c>
      <c r="J10" s="6">
        <f t="shared" si="0"/>
        <v>0.23789390608264277</v>
      </c>
      <c r="K10" s="22">
        <f t="shared" si="1"/>
        <v>709.56</v>
      </c>
    </row>
    <row r="11" spans="1:11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/>
      <c r="I11" s="20">
        <v>38.1</v>
      </c>
      <c r="J11" s="6">
        <f t="shared" si="0"/>
        <v>0.28995433789954339</v>
      </c>
      <c r="K11" s="22">
        <f t="shared" si="1"/>
        <v>131.4</v>
      </c>
    </row>
    <row r="12" spans="1:11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0</v>
      </c>
      <c r="G12" s="3">
        <v>0</v>
      </c>
      <c r="H12" s="3">
        <v>0</v>
      </c>
      <c r="I12" s="20">
        <v>62.4</v>
      </c>
      <c r="J12" s="6">
        <f t="shared" si="0"/>
        <v>0.23744292237442921</v>
      </c>
      <c r="K12" s="22">
        <f t="shared" si="1"/>
        <v>262.8</v>
      </c>
    </row>
    <row r="13" spans="1:11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20">
        <v>182</v>
      </c>
      <c r="J13" s="6">
        <f t="shared" si="0"/>
        <v>0.2807602122670616</v>
      </c>
      <c r="K13" s="22">
        <f t="shared" si="1"/>
        <v>648.24</v>
      </c>
    </row>
    <row r="14" spans="1:11" x14ac:dyDescent="0.3">
      <c r="A14" s="7" t="s">
        <v>73</v>
      </c>
      <c r="B14" s="8" t="s">
        <v>1</v>
      </c>
      <c r="C14" s="20" t="s">
        <v>74</v>
      </c>
      <c r="D14" s="4">
        <v>39845</v>
      </c>
      <c r="E14" s="24">
        <v>112.5</v>
      </c>
      <c r="F14" s="24">
        <v>112.5</v>
      </c>
      <c r="G14" s="24">
        <v>112.5</v>
      </c>
      <c r="H14" s="24">
        <v>112.5</v>
      </c>
      <c r="I14" s="24">
        <v>267.60000000000002</v>
      </c>
      <c r="J14" s="52">
        <f t="shared" si="0"/>
        <v>0.27153729071537291</v>
      </c>
      <c r="K14" s="39">
        <f t="shared" si="1"/>
        <v>985.5</v>
      </c>
    </row>
    <row r="15" spans="1:11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57.4</v>
      </c>
      <c r="F15" s="3">
        <v>57.4</v>
      </c>
      <c r="G15" s="3">
        <v>57.4</v>
      </c>
      <c r="H15" s="3">
        <v>57.4</v>
      </c>
      <c r="I15" s="20">
        <v>133.80000000000001</v>
      </c>
      <c r="J15" s="6">
        <f t="shared" si="0"/>
        <v>0.26609708367142382</v>
      </c>
      <c r="K15" s="22">
        <f>E15*8760/1000</f>
        <v>502.82400000000001</v>
      </c>
    </row>
    <row r="16" spans="1:11" x14ac:dyDescent="0.3">
      <c r="A16" s="13" t="s">
        <v>171</v>
      </c>
      <c r="B16" s="8" t="s">
        <v>22</v>
      </c>
      <c r="C16" s="3" t="s">
        <v>29</v>
      </c>
      <c r="D16" s="4">
        <v>42705</v>
      </c>
      <c r="E16" s="3">
        <v>77.7</v>
      </c>
      <c r="F16" s="3">
        <v>77.7</v>
      </c>
      <c r="G16" s="3">
        <v>77.7</v>
      </c>
      <c r="H16" s="3">
        <v>77.7</v>
      </c>
      <c r="I16" s="20">
        <v>15.3</v>
      </c>
      <c r="J16" s="65">
        <f>(I16*1000*12)/(8760*E16)</f>
        <v>0.26974136563177659</v>
      </c>
      <c r="K16" s="57">
        <f>E16*31*24/1000</f>
        <v>57.808800000000005</v>
      </c>
    </row>
    <row r="17" spans="1:11" x14ac:dyDescent="0.3">
      <c r="A17" s="7" t="s">
        <v>19</v>
      </c>
      <c r="B17" s="8" t="s">
        <v>12</v>
      </c>
      <c r="C17" s="3" t="s">
        <v>20</v>
      </c>
      <c r="D17" s="4">
        <v>36770</v>
      </c>
      <c r="E17" s="3">
        <v>11.6</v>
      </c>
      <c r="F17" s="3">
        <v>11.5</v>
      </c>
      <c r="G17" s="3">
        <v>11.6</v>
      </c>
      <c r="H17" s="3">
        <v>11.6</v>
      </c>
      <c r="I17" s="20">
        <v>20</v>
      </c>
      <c r="J17" s="6">
        <f t="shared" si="0"/>
        <v>0.19681939851991812</v>
      </c>
      <c r="K17" s="22">
        <f>E17*8760/1000</f>
        <v>101.616</v>
      </c>
    </row>
    <row r="18" spans="1:11" x14ac:dyDescent="0.3">
      <c r="A18" s="7" t="s">
        <v>14</v>
      </c>
      <c r="B18" s="8" t="s">
        <v>12</v>
      </c>
      <c r="C18" s="3" t="s">
        <v>13</v>
      </c>
      <c r="D18" s="4">
        <v>38718</v>
      </c>
      <c r="E18" s="3">
        <v>231</v>
      </c>
      <c r="F18" s="3">
        <v>231</v>
      </c>
      <c r="G18" s="3">
        <v>231</v>
      </c>
      <c r="H18" s="3">
        <v>231</v>
      </c>
      <c r="I18" s="20">
        <v>554.9</v>
      </c>
      <c r="J18" s="6">
        <f t="shared" si="0"/>
        <v>0.27421969202791119</v>
      </c>
      <c r="K18" s="22">
        <f>E18*8760/1000</f>
        <v>2023.56</v>
      </c>
    </row>
    <row r="19" spans="1:11" x14ac:dyDescent="0.3">
      <c r="A19" s="7" t="s">
        <v>11</v>
      </c>
      <c r="B19" s="8" t="s">
        <v>12</v>
      </c>
      <c r="C19" s="3" t="s">
        <v>13</v>
      </c>
      <c r="D19" s="4">
        <v>39417</v>
      </c>
      <c r="E19" s="3">
        <v>90.7</v>
      </c>
      <c r="F19" s="3">
        <v>90.7</v>
      </c>
      <c r="G19" s="3">
        <v>90.7</v>
      </c>
      <c r="H19" s="3">
        <v>90.8</v>
      </c>
      <c r="I19" s="20">
        <v>212</v>
      </c>
      <c r="J19" s="6">
        <f t="shared" si="0"/>
        <v>0.26682374026470929</v>
      </c>
      <c r="K19" s="22">
        <f t="shared" ref="K19:K26" si="2">E19*8760/1000</f>
        <v>794.53200000000004</v>
      </c>
    </row>
    <row r="20" spans="1:11" x14ac:dyDescent="0.3">
      <c r="A20" s="7" t="s">
        <v>21</v>
      </c>
      <c r="B20" s="8" t="s">
        <v>22</v>
      </c>
      <c r="C20" s="3" t="s">
        <v>23</v>
      </c>
      <c r="D20" s="4">
        <v>41091</v>
      </c>
      <c r="E20" s="3">
        <v>215.5</v>
      </c>
      <c r="F20" s="3">
        <v>0</v>
      </c>
      <c r="G20" s="3">
        <v>0</v>
      </c>
      <c r="H20" s="3">
        <v>0</v>
      </c>
      <c r="I20" s="20">
        <v>523.6</v>
      </c>
      <c r="J20" s="6">
        <f t="shared" si="0"/>
        <v>0.27736282829567005</v>
      </c>
      <c r="K20" s="22">
        <f t="shared" si="2"/>
        <v>1887.78</v>
      </c>
    </row>
    <row r="21" spans="1:11" x14ac:dyDescent="0.3">
      <c r="A21" s="13" t="s">
        <v>150</v>
      </c>
      <c r="B21" s="27" t="s">
        <v>1</v>
      </c>
      <c r="C21" s="20" t="s">
        <v>151</v>
      </c>
      <c r="D21" s="23">
        <v>41974</v>
      </c>
      <c r="E21" s="20">
        <v>16.2</v>
      </c>
      <c r="F21" s="20">
        <v>0</v>
      </c>
      <c r="G21" s="20">
        <v>0</v>
      </c>
      <c r="H21" s="20">
        <v>0</v>
      </c>
      <c r="I21" s="20">
        <v>55</v>
      </c>
      <c r="J21" s="28">
        <f t="shared" si="0"/>
        <v>0.38756412424601161</v>
      </c>
      <c r="K21" s="22">
        <f t="shared" si="2"/>
        <v>141.91200000000001</v>
      </c>
    </row>
    <row r="22" spans="1:11" x14ac:dyDescent="0.3">
      <c r="A22" s="7" t="s">
        <v>35</v>
      </c>
      <c r="B22" s="8" t="s">
        <v>12</v>
      </c>
      <c r="C22" s="3" t="s">
        <v>36</v>
      </c>
      <c r="D22" s="4">
        <v>39314</v>
      </c>
      <c r="E22" s="3">
        <v>34.5</v>
      </c>
      <c r="F22" s="3">
        <v>34.5</v>
      </c>
      <c r="G22" s="3">
        <v>34.5</v>
      </c>
      <c r="H22" s="3">
        <v>34.5</v>
      </c>
      <c r="I22" s="20">
        <v>93.9</v>
      </c>
      <c r="J22" s="6">
        <f t="shared" si="0"/>
        <v>0.31070081397657334</v>
      </c>
      <c r="K22" s="22">
        <f t="shared" si="2"/>
        <v>302.22000000000003</v>
      </c>
    </row>
    <row r="23" spans="1:11" x14ac:dyDescent="0.3">
      <c r="A23" s="7" t="s">
        <v>144</v>
      </c>
      <c r="B23" s="8" t="s">
        <v>1</v>
      </c>
      <c r="C23" s="3" t="s">
        <v>145</v>
      </c>
      <c r="D23" s="4">
        <v>41609</v>
      </c>
      <c r="E23" s="3">
        <v>93.9</v>
      </c>
      <c r="F23" s="3">
        <v>88.5</v>
      </c>
      <c r="G23" s="3">
        <v>93.9</v>
      </c>
      <c r="H23" s="3">
        <v>93.9</v>
      </c>
      <c r="I23" s="20">
        <v>265</v>
      </c>
      <c r="J23" s="6">
        <f t="shared" si="0"/>
        <v>0.322163381815883</v>
      </c>
      <c r="K23" s="22">
        <f t="shared" si="2"/>
        <v>822.56399999999996</v>
      </c>
    </row>
    <row r="24" spans="1:11" x14ac:dyDescent="0.3">
      <c r="A24" s="7" t="s">
        <v>7</v>
      </c>
      <c r="B24" s="8" t="s">
        <v>8</v>
      </c>
      <c r="C24" s="3" t="s">
        <v>9</v>
      </c>
      <c r="D24" s="4">
        <v>39105</v>
      </c>
      <c r="E24" s="3">
        <v>20</v>
      </c>
      <c r="F24" s="3">
        <v>20</v>
      </c>
      <c r="G24" s="3">
        <v>20</v>
      </c>
      <c r="H24" s="3">
        <v>20</v>
      </c>
      <c r="I24" s="20">
        <v>55.7</v>
      </c>
      <c r="J24" s="6">
        <f>(I24*1000)/(8760*E24)</f>
        <v>0.31792237442922372</v>
      </c>
      <c r="K24" s="22">
        <f t="shared" si="2"/>
        <v>175.2</v>
      </c>
    </row>
    <row r="25" spans="1:11" x14ac:dyDescent="0.3">
      <c r="A25" s="7" t="s">
        <v>37</v>
      </c>
      <c r="B25" s="8" t="s">
        <v>38</v>
      </c>
      <c r="C25" s="3" t="s">
        <v>34</v>
      </c>
      <c r="D25" s="4">
        <v>36800</v>
      </c>
      <c r="E25" s="3">
        <v>6.6</v>
      </c>
      <c r="F25" s="3">
        <v>6.6</v>
      </c>
      <c r="G25" s="3">
        <v>0</v>
      </c>
      <c r="H25" s="3">
        <v>0</v>
      </c>
      <c r="I25" s="20">
        <v>12.5</v>
      </c>
      <c r="J25" s="6">
        <f>(I25*1000)/(8760*E25)</f>
        <v>0.21620312716203127</v>
      </c>
      <c r="K25" s="22">
        <f t="shared" si="2"/>
        <v>57.816000000000003</v>
      </c>
    </row>
    <row r="26" spans="1:11" x14ac:dyDescent="0.3">
      <c r="A26" s="7" t="s">
        <v>33</v>
      </c>
      <c r="B26" s="8" t="s">
        <v>1</v>
      </c>
      <c r="C26" s="3" t="s">
        <v>34</v>
      </c>
      <c r="D26" s="4">
        <v>39793</v>
      </c>
      <c r="E26" s="3">
        <v>126</v>
      </c>
      <c r="F26" s="3">
        <v>126</v>
      </c>
      <c r="G26" s="3">
        <v>126</v>
      </c>
      <c r="H26" s="3">
        <v>126</v>
      </c>
      <c r="I26" s="20">
        <v>264.8</v>
      </c>
      <c r="J26" s="6">
        <f>(I26*1000)/(8760*E26)</f>
        <v>0.23990722620859606</v>
      </c>
      <c r="K26" s="22">
        <f t="shared" si="2"/>
        <v>1103.76</v>
      </c>
    </row>
    <row r="27" spans="1:11" x14ac:dyDescent="0.3">
      <c r="A27" s="13" t="s">
        <v>66</v>
      </c>
      <c r="B27" s="3"/>
      <c r="C27" s="3"/>
      <c r="D27" s="3"/>
      <c r="E27" s="3">
        <f>SUM(E5:E26)</f>
        <v>1823.6000000000001</v>
      </c>
      <c r="F27" s="3">
        <f>SUM(F5:F26)</f>
        <v>1541.3999999999999</v>
      </c>
      <c r="G27" s="3">
        <f>SUM(G5:G26)</f>
        <v>1540.3000000000002</v>
      </c>
      <c r="H27" s="3">
        <f>SUM(H5:H26)</f>
        <v>1540.4</v>
      </c>
      <c r="I27" s="3">
        <f>SUM(I5:I26)</f>
        <v>3943.3</v>
      </c>
      <c r="J27" s="6">
        <f>I27/K27</f>
        <v>0.2568608347760219</v>
      </c>
      <c r="K27" s="21">
        <f>SUM(K5:K26)</f>
        <v>15351.892800000001</v>
      </c>
    </row>
    <row r="29" spans="1:11" x14ac:dyDescent="0.3">
      <c r="A29" s="68" t="s">
        <v>176</v>
      </c>
      <c r="E29">
        <f>E12+E17+E18+E25</f>
        <v>279.20000000000005</v>
      </c>
      <c r="F29">
        <f t="shared" ref="F29:I29" si="3">F12+F17+F18+F25</f>
        <v>249.1</v>
      </c>
      <c r="G29">
        <f t="shared" si="3"/>
        <v>242.6</v>
      </c>
      <c r="H29">
        <f t="shared" si="3"/>
        <v>242.6</v>
      </c>
      <c r="I29">
        <f t="shared" si="3"/>
        <v>649.79999999999995</v>
      </c>
      <c r="K29" s="3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9"/>
  <sheetViews>
    <sheetView workbookViewId="0">
      <pane xSplit="2" ySplit="4" topLeftCell="C14" activePane="bottomRight" state="frozen"/>
      <selection pane="topRight" activeCell="C1" sqref="C1"/>
      <selection pane="bottomLeft" activeCell="A5" sqref="A5"/>
      <selection pane="bottomRight" activeCell="I26" sqref="I26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1" x14ac:dyDescent="0.3">
      <c r="A1" t="s">
        <v>165</v>
      </c>
    </row>
    <row r="3" spans="1:11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166</v>
      </c>
      <c r="H3" s="9"/>
      <c r="I3" s="9" t="s">
        <v>167</v>
      </c>
      <c r="J3" s="10" t="s">
        <v>64</v>
      </c>
      <c r="K3" s="32" t="s">
        <v>93</v>
      </c>
    </row>
    <row r="4" spans="1:11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1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20">
        <v>170.1</v>
      </c>
      <c r="J5" s="6">
        <f t="shared" ref="J5:J22" si="0">(I5*1000)/(8760*E5)</f>
        <v>0.19915700737618547</v>
      </c>
      <c r="K5" s="22">
        <f>E5*8760/1000</f>
        <v>854.1</v>
      </c>
    </row>
    <row r="6" spans="1:11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20">
        <v>205.3</v>
      </c>
      <c r="J6" s="6">
        <f t="shared" si="0"/>
        <v>0.23319475680955951</v>
      </c>
      <c r="K6" s="22">
        <f t="shared" ref="K6:K14" si="1">E6*8760/1000</f>
        <v>880.38</v>
      </c>
    </row>
    <row r="7" spans="1:11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20">
        <v>261</v>
      </c>
      <c r="J7" s="6">
        <f t="shared" si="0"/>
        <v>0.23835616438356164</v>
      </c>
      <c r="K7" s="22">
        <f t="shared" si="1"/>
        <v>1095</v>
      </c>
    </row>
    <row r="8" spans="1:11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20">
        <v>211.4</v>
      </c>
      <c r="J8" s="6">
        <f t="shared" si="0"/>
        <v>0.22659549381525071</v>
      </c>
      <c r="K8" s="22">
        <f t="shared" si="1"/>
        <v>932.94</v>
      </c>
    </row>
    <row r="9" spans="1:11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20">
        <v>174.9</v>
      </c>
      <c r="J9" s="6">
        <f t="shared" si="0"/>
        <v>0.19866421318067198</v>
      </c>
      <c r="K9" s="22">
        <f t="shared" si="1"/>
        <v>880.38</v>
      </c>
    </row>
    <row r="10" spans="1:11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20">
        <v>173.5</v>
      </c>
      <c r="J10" s="6">
        <f t="shared" si="0"/>
        <v>0.24451772929702914</v>
      </c>
      <c r="K10" s="22">
        <f t="shared" si="1"/>
        <v>709.56</v>
      </c>
    </row>
    <row r="11" spans="1:11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/>
      <c r="I11" s="20">
        <v>38</v>
      </c>
      <c r="J11" s="6">
        <f t="shared" si="0"/>
        <v>0.28919330289193301</v>
      </c>
      <c r="K11" s="22">
        <f t="shared" si="1"/>
        <v>131.4</v>
      </c>
    </row>
    <row r="12" spans="1:11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20">
        <v>67.400000000000006</v>
      </c>
      <c r="J12" s="6">
        <f t="shared" si="0"/>
        <v>0.25646879756468799</v>
      </c>
      <c r="K12" s="22">
        <f t="shared" si="1"/>
        <v>262.8</v>
      </c>
    </row>
    <row r="13" spans="1:11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20">
        <v>183.5</v>
      </c>
      <c r="J13" s="6">
        <f t="shared" si="0"/>
        <v>0.28307417006047142</v>
      </c>
      <c r="K13" s="22">
        <f t="shared" si="1"/>
        <v>648.24</v>
      </c>
    </row>
    <row r="14" spans="1:11" x14ac:dyDescent="0.3">
      <c r="A14" s="7" t="s">
        <v>73</v>
      </c>
      <c r="B14" s="8" t="s">
        <v>1</v>
      </c>
      <c r="C14" s="20" t="s">
        <v>74</v>
      </c>
      <c r="D14" s="4">
        <v>39845</v>
      </c>
      <c r="E14" s="24">
        <v>112.5</v>
      </c>
      <c r="F14" s="24">
        <v>112.5</v>
      </c>
      <c r="G14" s="24">
        <v>112.5</v>
      </c>
      <c r="H14" s="24">
        <v>112.5</v>
      </c>
      <c r="I14" s="24">
        <v>258.39999999999998</v>
      </c>
      <c r="J14" s="52">
        <f t="shared" si="0"/>
        <v>0.26220192795535258</v>
      </c>
      <c r="K14" s="39">
        <f t="shared" si="1"/>
        <v>985.5</v>
      </c>
    </row>
    <row r="15" spans="1:11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57.4</v>
      </c>
      <c r="F15" s="3">
        <v>57.4</v>
      </c>
      <c r="G15" s="3">
        <v>57.4</v>
      </c>
      <c r="H15" s="3">
        <v>57.4</v>
      </c>
      <c r="I15" s="20">
        <v>128.9</v>
      </c>
      <c r="J15" s="6">
        <f t="shared" si="0"/>
        <v>0.25635212320812051</v>
      </c>
      <c r="K15" s="22">
        <f>E15*8760/1000</f>
        <v>502.82400000000001</v>
      </c>
    </row>
    <row r="16" spans="1:11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20">
        <v>19.7</v>
      </c>
      <c r="J16" s="6">
        <f t="shared" si="0"/>
        <v>0.19386710754211936</v>
      </c>
      <c r="K16" s="22">
        <f>E16*8760/1000</f>
        <v>101.616</v>
      </c>
    </row>
    <row r="17" spans="1:11" x14ac:dyDescent="0.3">
      <c r="A17" s="7" t="s">
        <v>14</v>
      </c>
      <c r="B17" s="8" t="s">
        <v>12</v>
      </c>
      <c r="C17" s="3" t="s">
        <v>13</v>
      </c>
      <c r="D17" s="4">
        <v>38718</v>
      </c>
      <c r="E17" s="3">
        <v>231</v>
      </c>
      <c r="F17" s="3">
        <v>231</v>
      </c>
      <c r="G17" s="3">
        <v>231</v>
      </c>
      <c r="H17" s="3">
        <v>231</v>
      </c>
      <c r="I17" s="20">
        <v>568.4</v>
      </c>
      <c r="J17" s="6">
        <f t="shared" si="0"/>
        <v>0.28089110280891105</v>
      </c>
      <c r="K17" s="22">
        <f>E17*8760/1000</f>
        <v>2023.56</v>
      </c>
    </row>
    <row r="18" spans="1:11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90.7</v>
      </c>
      <c r="F18" s="3">
        <v>90.7</v>
      </c>
      <c r="G18" s="3">
        <v>90.7</v>
      </c>
      <c r="H18" s="3">
        <v>90.8</v>
      </c>
      <c r="I18" s="20">
        <v>217</v>
      </c>
      <c r="J18" s="6">
        <f t="shared" si="0"/>
        <v>0.27311675300680149</v>
      </c>
      <c r="K18" s="22">
        <f>E18*8760/1000</f>
        <v>794.53200000000004</v>
      </c>
    </row>
    <row r="19" spans="1:11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>
        <v>215.5</v>
      </c>
      <c r="F19" s="3">
        <v>0</v>
      </c>
      <c r="G19" s="3">
        <v>0</v>
      </c>
      <c r="H19" s="3">
        <v>0</v>
      </c>
      <c r="I19" s="20">
        <v>543.4</v>
      </c>
      <c r="J19" s="6">
        <f t="shared" si="0"/>
        <v>0.28785133860937184</v>
      </c>
      <c r="K19" s="22">
        <f>E19*8760/1000</f>
        <v>1887.78</v>
      </c>
    </row>
    <row r="20" spans="1:11" x14ac:dyDescent="0.3">
      <c r="A20" s="53" t="s">
        <v>150</v>
      </c>
      <c r="B20" s="54" t="s">
        <v>1</v>
      </c>
      <c r="C20" s="55" t="s">
        <v>151</v>
      </c>
      <c r="D20" s="56">
        <v>41974</v>
      </c>
      <c r="E20" s="3">
        <v>162</v>
      </c>
      <c r="F20" s="3">
        <v>0</v>
      </c>
      <c r="G20" s="3">
        <v>0</v>
      </c>
      <c r="H20" s="3">
        <v>0</v>
      </c>
      <c r="I20" s="20">
        <v>56.3</v>
      </c>
      <c r="J20" s="65">
        <f>(I20*1000*12)/(8760*E20)</f>
        <v>0.47606967698291897</v>
      </c>
      <c r="K20" s="57">
        <f>E20*24*31/1000</f>
        <v>120.52800000000001</v>
      </c>
    </row>
    <row r="21" spans="1:11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20">
        <v>91.3</v>
      </c>
      <c r="J21" s="6">
        <f t="shared" si="0"/>
        <v>0.3020978095427172</v>
      </c>
      <c r="K21" s="22">
        <f>24*153*E21/1000</f>
        <v>126.684</v>
      </c>
    </row>
    <row r="22" spans="1:11" x14ac:dyDescent="0.3">
      <c r="A22" s="7" t="s">
        <v>144</v>
      </c>
      <c r="B22" s="8" t="s">
        <v>1</v>
      </c>
      <c r="C22" s="3" t="s">
        <v>145</v>
      </c>
      <c r="D22" s="4">
        <v>41609</v>
      </c>
      <c r="E22" s="3">
        <v>93.9</v>
      </c>
      <c r="F22" s="3">
        <v>88.5</v>
      </c>
      <c r="G22" s="3">
        <v>93.9</v>
      </c>
      <c r="H22" s="3">
        <v>93.9</v>
      </c>
      <c r="I22" s="20">
        <v>286.89999999999998</v>
      </c>
      <c r="J22" s="6">
        <f t="shared" si="0"/>
        <v>0.34878744997349748</v>
      </c>
      <c r="K22" s="22">
        <f>E22*31*24/1000</f>
        <v>69.86160000000001</v>
      </c>
    </row>
    <row r="23" spans="1:11" x14ac:dyDescent="0.3">
      <c r="A23" s="7" t="s">
        <v>7</v>
      </c>
      <c r="B23" s="8" t="s">
        <v>8</v>
      </c>
      <c r="C23" s="3" t="s">
        <v>9</v>
      </c>
      <c r="D23" s="4">
        <v>39105</v>
      </c>
      <c r="E23" s="3">
        <v>20</v>
      </c>
      <c r="F23" s="3">
        <v>20</v>
      </c>
      <c r="G23" s="3">
        <v>20</v>
      </c>
      <c r="H23" s="3">
        <v>20</v>
      </c>
      <c r="I23" s="20">
        <v>50.6</v>
      </c>
      <c r="J23" s="6">
        <f>(I23*1000)/(8760*E23)</f>
        <v>0.28881278538812788</v>
      </c>
      <c r="K23" s="22">
        <f>E23*8760/1000</f>
        <v>175.2</v>
      </c>
    </row>
    <row r="24" spans="1:11" x14ac:dyDescent="0.3">
      <c r="A24" s="7" t="s">
        <v>37</v>
      </c>
      <c r="B24" s="8" t="s">
        <v>38</v>
      </c>
      <c r="C24" s="3" t="s">
        <v>34</v>
      </c>
      <c r="D24" s="4">
        <v>36800</v>
      </c>
      <c r="E24" s="3">
        <v>6.6</v>
      </c>
      <c r="F24" s="3">
        <v>6.6</v>
      </c>
      <c r="G24" s="3">
        <v>0</v>
      </c>
      <c r="H24" s="3">
        <v>0</v>
      </c>
      <c r="I24" s="20">
        <v>13.6</v>
      </c>
      <c r="J24" s="6">
        <f>(I24*1000)/(8760*E24)</f>
        <v>0.23522900235229002</v>
      </c>
      <c r="K24" s="22">
        <f>E24*8760/1000</f>
        <v>57.816000000000003</v>
      </c>
    </row>
    <row r="25" spans="1:11" x14ac:dyDescent="0.3">
      <c r="A25" s="7" t="s">
        <v>33</v>
      </c>
      <c r="B25" s="8" t="s">
        <v>1</v>
      </c>
      <c r="C25" s="3" t="s">
        <v>34</v>
      </c>
      <c r="D25" s="4">
        <v>39793</v>
      </c>
      <c r="E25" s="3">
        <v>126</v>
      </c>
      <c r="F25" s="3">
        <v>126</v>
      </c>
      <c r="G25" s="3">
        <v>126</v>
      </c>
      <c r="H25" s="3">
        <v>126</v>
      </c>
      <c r="I25" s="20">
        <v>264.2</v>
      </c>
      <c r="J25" s="6">
        <f>(I25*1000)/(8760*E25)</f>
        <v>0.23936362977458867</v>
      </c>
      <c r="K25" s="22">
        <f>E25*8760/1000</f>
        <v>1103.76</v>
      </c>
    </row>
    <row r="26" spans="1:11" x14ac:dyDescent="0.3">
      <c r="A26" s="13" t="s">
        <v>66</v>
      </c>
      <c r="B26" s="3"/>
      <c r="C26" s="3"/>
      <c r="D26" s="3"/>
      <c r="E26" s="3">
        <f>SUM(E5:E25)</f>
        <v>1891.7</v>
      </c>
      <c r="F26" s="3">
        <f>SUM(F5:F25)</f>
        <v>1493.7</v>
      </c>
      <c r="G26" s="3">
        <f>SUM(G5:G25)</f>
        <v>1462.6000000000001</v>
      </c>
      <c r="H26" s="3">
        <f>SUM(H5:H25)</f>
        <v>1462.7</v>
      </c>
      <c r="I26" s="3">
        <f>SUM(I5:I25)</f>
        <v>3983.8</v>
      </c>
      <c r="J26" s="6">
        <f>I26/K26</f>
        <v>0.27772391262143992</v>
      </c>
      <c r="K26" s="21">
        <f>SUM(K5:K25)</f>
        <v>14344.461600000001</v>
      </c>
    </row>
    <row r="27" spans="1:11" x14ac:dyDescent="0.3">
      <c r="A27" s="68"/>
      <c r="B27" s="5"/>
      <c r="C27" s="5"/>
      <c r="D27" s="5"/>
      <c r="E27" s="5"/>
      <c r="F27" s="5"/>
      <c r="G27" s="5"/>
      <c r="H27" s="5"/>
      <c r="I27" s="5"/>
      <c r="J27" s="18"/>
      <c r="K27" s="69"/>
    </row>
    <row r="29" spans="1:11" x14ac:dyDescent="0.3">
      <c r="A29" s="68" t="s">
        <v>176</v>
      </c>
      <c r="E29">
        <f>E12+E16+E17+E24</f>
        <v>279.20000000000005</v>
      </c>
      <c r="F29">
        <f t="shared" ref="F29:I29" si="2">F12+F16+F17+F24</f>
        <v>279.10000000000002</v>
      </c>
      <c r="G29">
        <f t="shared" si="2"/>
        <v>242.6</v>
      </c>
      <c r="H29">
        <f t="shared" si="2"/>
        <v>242.6</v>
      </c>
      <c r="I29">
        <f t="shared" si="2"/>
        <v>669.1</v>
      </c>
      <c r="K29" s="3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29"/>
  <sheetViews>
    <sheetView topLeftCell="A10" workbookViewId="0">
      <selection activeCell="A27" sqref="A27:XFD27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1" x14ac:dyDescent="0.3">
      <c r="A1" t="s">
        <v>147</v>
      </c>
    </row>
    <row r="3" spans="1:11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149</v>
      </c>
      <c r="H3" s="9"/>
      <c r="I3" s="9" t="s">
        <v>148</v>
      </c>
      <c r="J3" s="10" t="s">
        <v>64</v>
      </c>
      <c r="K3" s="32" t="s">
        <v>93</v>
      </c>
    </row>
    <row r="4" spans="1:11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1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20">
        <v>186.4</v>
      </c>
      <c r="J5" s="6">
        <f t="shared" ref="J5:J22" si="0">(I5*1000)/(8760*E5)</f>
        <v>0.21824142372087577</v>
      </c>
      <c r="K5" s="22">
        <f>E5*8760/1000</f>
        <v>854.1</v>
      </c>
    </row>
    <row r="6" spans="1:11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20">
        <v>206.6</v>
      </c>
      <c r="J6" s="6">
        <f t="shared" si="0"/>
        <v>0.23467139189895272</v>
      </c>
      <c r="K6" s="22">
        <f t="shared" ref="K6:K14" si="1">E6*8760/1000</f>
        <v>880.38</v>
      </c>
    </row>
    <row r="7" spans="1:11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20">
        <v>259.5</v>
      </c>
      <c r="J7" s="6">
        <f t="shared" si="0"/>
        <v>0.23698630136986301</v>
      </c>
      <c r="K7" s="22">
        <f t="shared" si="1"/>
        <v>1095</v>
      </c>
    </row>
    <row r="8" spans="1:11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20">
        <v>200.5</v>
      </c>
      <c r="J8" s="6">
        <f t="shared" si="0"/>
        <v>0.21491199862799323</v>
      </c>
      <c r="K8" s="22">
        <f t="shared" si="1"/>
        <v>932.94</v>
      </c>
    </row>
    <row r="9" spans="1:11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20">
        <v>186.2</v>
      </c>
      <c r="J9" s="6">
        <f t="shared" si="0"/>
        <v>0.21149957972693609</v>
      </c>
      <c r="K9" s="22">
        <f t="shared" si="1"/>
        <v>880.38</v>
      </c>
    </row>
    <row r="10" spans="1:11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20">
        <v>176.6</v>
      </c>
      <c r="J10" s="6">
        <f t="shared" si="0"/>
        <v>0.24888663397034783</v>
      </c>
      <c r="K10" s="22">
        <f t="shared" si="1"/>
        <v>709.56</v>
      </c>
    </row>
    <row r="11" spans="1:11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/>
      <c r="I11" s="20">
        <v>39.299999999999997</v>
      </c>
      <c r="J11" s="6">
        <f t="shared" si="0"/>
        <v>0.29908675799086759</v>
      </c>
      <c r="K11" s="22">
        <f t="shared" si="1"/>
        <v>131.4</v>
      </c>
    </row>
    <row r="12" spans="1:11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20">
        <v>66.8</v>
      </c>
      <c r="J12" s="6">
        <f t="shared" si="0"/>
        <v>0.25418569254185691</v>
      </c>
      <c r="K12" s="22">
        <f t="shared" si="1"/>
        <v>262.8</v>
      </c>
    </row>
    <row r="13" spans="1:11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20">
        <v>184.3</v>
      </c>
      <c r="J13" s="6">
        <f t="shared" si="0"/>
        <v>0.28430828088362337</v>
      </c>
      <c r="K13" s="22">
        <f t="shared" si="1"/>
        <v>648.24</v>
      </c>
    </row>
    <row r="14" spans="1:11" x14ac:dyDescent="0.3">
      <c r="A14" s="7" t="s">
        <v>73</v>
      </c>
      <c r="B14" s="8" t="s">
        <v>1</v>
      </c>
      <c r="C14" s="20" t="s">
        <v>74</v>
      </c>
      <c r="D14" s="4">
        <v>39845</v>
      </c>
      <c r="E14" s="24">
        <v>112.5</v>
      </c>
      <c r="F14" s="24">
        <v>112.5</v>
      </c>
      <c r="G14" s="24">
        <v>112.5</v>
      </c>
      <c r="H14" s="24">
        <v>112.5</v>
      </c>
      <c r="I14" s="24">
        <v>270.7</v>
      </c>
      <c r="J14" s="52">
        <f t="shared" si="0"/>
        <v>0.27468290208016233</v>
      </c>
      <c r="K14" s="39">
        <f t="shared" si="1"/>
        <v>985.5</v>
      </c>
    </row>
    <row r="15" spans="1:11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57.4</v>
      </c>
      <c r="F15" s="3">
        <v>57.4</v>
      </c>
      <c r="G15" s="3">
        <v>57.4</v>
      </c>
      <c r="H15" s="3">
        <v>57.4</v>
      </c>
      <c r="I15" s="20">
        <v>133</v>
      </c>
      <c r="J15" s="6">
        <f t="shared" si="0"/>
        <v>0.26450606971823143</v>
      </c>
      <c r="K15" s="22">
        <f>E15*8760/1000</f>
        <v>502.82400000000001</v>
      </c>
    </row>
    <row r="16" spans="1:11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20">
        <v>21</v>
      </c>
      <c r="J16" s="6">
        <f t="shared" si="0"/>
        <v>0.20666036844591404</v>
      </c>
      <c r="K16" s="22">
        <f>E16*8760/1000</f>
        <v>101.616</v>
      </c>
    </row>
    <row r="17" spans="1:11" x14ac:dyDescent="0.3">
      <c r="A17" s="7" t="s">
        <v>14</v>
      </c>
      <c r="B17" s="8" t="s">
        <v>12</v>
      </c>
      <c r="C17" s="3" t="s">
        <v>13</v>
      </c>
      <c r="D17" s="4">
        <v>38718</v>
      </c>
      <c r="E17" s="3">
        <v>231</v>
      </c>
      <c r="F17" s="3">
        <v>231</v>
      </c>
      <c r="G17" s="3">
        <v>231</v>
      </c>
      <c r="H17" s="3">
        <v>231</v>
      </c>
      <c r="I17" s="20">
        <v>587.4</v>
      </c>
      <c r="J17" s="6">
        <f t="shared" si="0"/>
        <v>0.2902804957599478</v>
      </c>
      <c r="K17" s="22">
        <f>E17*8760/1000</f>
        <v>2023.56</v>
      </c>
    </row>
    <row r="18" spans="1:11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90.7</v>
      </c>
      <c r="F18" s="3">
        <v>90.7</v>
      </c>
      <c r="G18" s="3">
        <v>90.7</v>
      </c>
      <c r="H18" s="3">
        <v>90.8</v>
      </c>
      <c r="I18" s="20">
        <v>225.8</v>
      </c>
      <c r="J18" s="6">
        <f t="shared" si="0"/>
        <v>0.28419245543288374</v>
      </c>
      <c r="K18" s="22">
        <f>E18*8760/1000</f>
        <v>794.53200000000004</v>
      </c>
    </row>
    <row r="19" spans="1:11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>
        <v>215.5</v>
      </c>
      <c r="F19" s="3">
        <v>0</v>
      </c>
      <c r="G19" s="3">
        <v>0</v>
      </c>
      <c r="H19" s="3">
        <v>0</v>
      </c>
      <c r="I19" s="20">
        <v>539.20000000000005</v>
      </c>
      <c r="J19" s="6">
        <f t="shared" si="0"/>
        <v>0.28562650308828358</v>
      </c>
      <c r="K19" s="22">
        <f>E19*8760/1000</f>
        <v>1887.78</v>
      </c>
    </row>
    <row r="20" spans="1:11" x14ac:dyDescent="0.3">
      <c r="A20" s="53" t="s">
        <v>150</v>
      </c>
      <c r="B20" s="54" t="s">
        <v>1</v>
      </c>
      <c r="C20" s="55" t="s">
        <v>151</v>
      </c>
      <c r="D20" s="56">
        <v>41974</v>
      </c>
      <c r="E20" s="3">
        <v>162</v>
      </c>
      <c r="F20" s="3">
        <v>0</v>
      </c>
      <c r="G20" s="3">
        <v>0</v>
      </c>
      <c r="H20" s="3">
        <v>0</v>
      </c>
      <c r="I20" s="20">
        <v>8</v>
      </c>
      <c r="J20" s="6">
        <f t="shared" si="0"/>
        <v>5.6372963526692601E-3</v>
      </c>
      <c r="K20" s="57">
        <v>0</v>
      </c>
    </row>
    <row r="21" spans="1:11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20">
        <v>96</v>
      </c>
      <c r="J21" s="6">
        <f t="shared" si="0"/>
        <v>0.31764939448084178</v>
      </c>
      <c r="K21" s="22">
        <f>24*153*E21/1000</f>
        <v>126.684</v>
      </c>
    </row>
    <row r="22" spans="1:11" x14ac:dyDescent="0.3">
      <c r="A22" s="7" t="s">
        <v>144</v>
      </c>
      <c r="B22" s="8" t="s">
        <v>1</v>
      </c>
      <c r="C22" s="3" t="s">
        <v>145</v>
      </c>
      <c r="D22" s="4">
        <v>41609</v>
      </c>
      <c r="E22" s="3">
        <v>93.9</v>
      </c>
      <c r="F22" s="3">
        <v>88.5</v>
      </c>
      <c r="G22" s="3">
        <v>93.9</v>
      </c>
      <c r="H22" s="3">
        <v>93.9</v>
      </c>
      <c r="I22" s="20">
        <v>274.10000000000002</v>
      </c>
      <c r="J22" s="6">
        <f t="shared" si="0"/>
        <v>0.33322635077635299</v>
      </c>
      <c r="K22" s="22">
        <f>E22*31*24/1000</f>
        <v>69.86160000000001</v>
      </c>
    </row>
    <row r="23" spans="1:11" x14ac:dyDescent="0.3">
      <c r="A23" s="7" t="s">
        <v>7</v>
      </c>
      <c r="B23" s="8" t="s">
        <v>8</v>
      </c>
      <c r="C23" s="3" t="s">
        <v>9</v>
      </c>
      <c r="D23" s="4">
        <v>39105</v>
      </c>
      <c r="E23" s="3">
        <v>20</v>
      </c>
      <c r="F23" s="3">
        <v>20</v>
      </c>
      <c r="G23" s="3">
        <v>20</v>
      </c>
      <c r="H23" s="3">
        <v>20</v>
      </c>
      <c r="I23" s="20">
        <v>46.6</v>
      </c>
      <c r="J23" s="6">
        <f>(I23*1000)/(8760*E23)</f>
        <v>0.26598173515981738</v>
      </c>
      <c r="K23" s="22">
        <f>E23*8760/1000</f>
        <v>175.2</v>
      </c>
    </row>
    <row r="24" spans="1:11" x14ac:dyDescent="0.3">
      <c r="A24" s="7" t="s">
        <v>37</v>
      </c>
      <c r="B24" s="8" t="s">
        <v>38</v>
      </c>
      <c r="C24" s="3" t="s">
        <v>34</v>
      </c>
      <c r="D24" s="4">
        <v>36800</v>
      </c>
      <c r="E24" s="3">
        <v>6.6</v>
      </c>
      <c r="F24" s="3">
        <v>6.6</v>
      </c>
      <c r="G24" s="3">
        <v>0</v>
      </c>
      <c r="H24" s="3">
        <v>0</v>
      </c>
      <c r="I24" s="20">
        <v>9.3000000000000007</v>
      </c>
      <c r="J24" s="6">
        <f>(I24*1000)/(8760*E24)</f>
        <v>0.16085512660855128</v>
      </c>
      <c r="K24" s="22">
        <f>E24*8760/1000</f>
        <v>57.816000000000003</v>
      </c>
    </row>
    <row r="25" spans="1:11" x14ac:dyDescent="0.3">
      <c r="A25" s="7" t="s">
        <v>33</v>
      </c>
      <c r="B25" s="8" t="s">
        <v>1</v>
      </c>
      <c r="C25" s="3" t="s">
        <v>34</v>
      </c>
      <c r="D25" s="4">
        <v>39793</v>
      </c>
      <c r="E25" s="3">
        <v>126</v>
      </c>
      <c r="F25" s="3">
        <v>126</v>
      </c>
      <c r="G25" s="3">
        <v>126</v>
      </c>
      <c r="H25" s="3">
        <v>126</v>
      </c>
      <c r="I25" s="20">
        <v>267.8</v>
      </c>
      <c r="J25" s="6">
        <f>(I25*1000)/(8760*E25)</f>
        <v>0.24262520837863302</v>
      </c>
      <c r="K25" s="22">
        <f>E25*8760/1000</f>
        <v>1103.76</v>
      </c>
    </row>
    <row r="26" spans="1:11" x14ac:dyDescent="0.3">
      <c r="A26" s="13" t="s">
        <v>66</v>
      </c>
      <c r="B26" s="3"/>
      <c r="C26" s="3"/>
      <c r="D26" s="3"/>
      <c r="E26" s="3">
        <f>SUM(E5:E25)</f>
        <v>1891.7</v>
      </c>
      <c r="F26" s="3">
        <f>SUM(F5:F25)</f>
        <v>1493.7</v>
      </c>
      <c r="G26" s="3">
        <f>SUM(G5:G25)</f>
        <v>1462.6000000000001</v>
      </c>
      <c r="H26" s="3">
        <f>SUM(H5:H25)</f>
        <v>1462.7</v>
      </c>
      <c r="I26" s="3">
        <f>SUM(I5:I25)</f>
        <v>3985.1000000000004</v>
      </c>
      <c r="J26" s="6">
        <f>I26/K26</f>
        <v>0.2801686307084561</v>
      </c>
      <c r="K26" s="21">
        <f>SUM(K5:K25)</f>
        <v>14223.9336</v>
      </c>
    </row>
    <row r="27" spans="1:11" x14ac:dyDescent="0.3">
      <c r="A27" s="68"/>
      <c r="B27" s="5"/>
      <c r="C27" s="5"/>
      <c r="D27" s="5"/>
      <c r="E27" s="5"/>
      <c r="F27" s="5"/>
      <c r="G27" s="5"/>
      <c r="H27" s="5"/>
      <c r="I27" s="5"/>
      <c r="J27" s="18"/>
      <c r="K27" s="69"/>
    </row>
    <row r="29" spans="1:11" x14ac:dyDescent="0.3">
      <c r="A29" s="68" t="s">
        <v>176</v>
      </c>
      <c r="E29">
        <f>E12+E16+E17+E24</f>
        <v>279.20000000000005</v>
      </c>
      <c r="F29">
        <f t="shared" ref="F29:I29" si="2">F12+F16+F17+F24</f>
        <v>279.10000000000002</v>
      </c>
      <c r="G29">
        <f t="shared" si="2"/>
        <v>242.6</v>
      </c>
      <c r="H29">
        <f t="shared" si="2"/>
        <v>242.6</v>
      </c>
      <c r="I29">
        <f t="shared" si="2"/>
        <v>684.49999999999989</v>
      </c>
      <c r="K29" s="3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29"/>
  <sheetViews>
    <sheetView topLeftCell="A4" workbookViewId="0">
      <selection activeCell="A27" sqref="A27:XFD27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customWidth="1"/>
    <col min="8" max="8" width="7.33203125" customWidth="1"/>
    <col min="9" max="9" width="14.109375" bestFit="1" customWidth="1"/>
    <col min="10" max="10" width="9" customWidth="1"/>
    <col min="11" max="11" width="9.109375" customWidth="1"/>
  </cols>
  <sheetData>
    <row r="1" spans="1:12" x14ac:dyDescent="0.3">
      <c r="A1" t="s">
        <v>143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51</v>
      </c>
      <c r="H3" s="9"/>
      <c r="I3" s="9" t="s">
        <v>57</v>
      </c>
      <c r="J3" s="10" t="s">
        <v>64</v>
      </c>
      <c r="K3" s="32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2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3">
        <v>162.1</v>
      </c>
      <c r="J5" s="6">
        <f t="shared" ref="J5:J14" si="0">(I5*1000)/(8760*E5)</f>
        <v>0.189790422667135</v>
      </c>
      <c r="K5" s="22">
        <f>E5*8760/1000</f>
        <v>854.1</v>
      </c>
    </row>
    <row r="6" spans="1:12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3">
        <v>204.6</v>
      </c>
      <c r="J6" s="6">
        <f t="shared" si="0"/>
        <v>0.23239964560757856</v>
      </c>
      <c r="K6" s="22">
        <f t="shared" ref="K6:K14" si="1">E6*8760/1000</f>
        <v>880.38</v>
      </c>
    </row>
    <row r="7" spans="1:12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3">
        <v>240.9</v>
      </c>
      <c r="J7" s="6">
        <f t="shared" si="0"/>
        <v>0.22</v>
      </c>
      <c r="K7" s="22">
        <f t="shared" si="1"/>
        <v>1095</v>
      </c>
    </row>
    <row r="8" spans="1:12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3">
        <v>188.5</v>
      </c>
      <c r="J8" s="6">
        <f t="shared" si="0"/>
        <v>0.20204943511908591</v>
      </c>
      <c r="K8" s="22">
        <f t="shared" si="1"/>
        <v>932.94</v>
      </c>
    </row>
    <row r="9" spans="1:12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3">
        <v>176.3</v>
      </c>
      <c r="J9" s="6">
        <f t="shared" si="0"/>
        <v>0.20025443558463391</v>
      </c>
      <c r="K9" s="22">
        <f t="shared" si="1"/>
        <v>880.38</v>
      </c>
    </row>
    <row r="10" spans="1:12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3">
        <v>164.4</v>
      </c>
      <c r="J10" s="6">
        <f t="shared" si="0"/>
        <v>0.23169288009470657</v>
      </c>
      <c r="K10" s="22">
        <f t="shared" si="1"/>
        <v>709.56</v>
      </c>
    </row>
    <row r="11" spans="1:12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/>
      <c r="I11" s="3">
        <v>41.4</v>
      </c>
      <c r="J11" s="6">
        <f t="shared" si="0"/>
        <v>0.31506849315068491</v>
      </c>
      <c r="K11" s="22">
        <f t="shared" si="1"/>
        <v>131.4</v>
      </c>
    </row>
    <row r="12" spans="1:12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3">
        <v>68.3</v>
      </c>
      <c r="J12" s="6">
        <f t="shared" si="0"/>
        <v>0.25989345509893458</v>
      </c>
      <c r="K12" s="22">
        <f t="shared" si="1"/>
        <v>262.8</v>
      </c>
    </row>
    <row r="13" spans="1:12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3">
        <v>181.1</v>
      </c>
      <c r="J13" s="6">
        <f t="shared" si="0"/>
        <v>0.27937183759101569</v>
      </c>
      <c r="K13" s="22">
        <f t="shared" si="1"/>
        <v>648.24</v>
      </c>
    </row>
    <row r="14" spans="1:12" x14ac:dyDescent="0.3">
      <c r="A14" s="7" t="s">
        <v>73</v>
      </c>
      <c r="B14" s="8" t="s">
        <v>1</v>
      </c>
      <c r="C14" s="20" t="s">
        <v>74</v>
      </c>
      <c r="D14" s="4">
        <v>39845</v>
      </c>
      <c r="E14" s="24">
        <v>112.5</v>
      </c>
      <c r="F14" s="24">
        <v>112.5</v>
      </c>
      <c r="G14" s="24">
        <v>112.5</v>
      </c>
      <c r="H14" s="24">
        <v>112.5</v>
      </c>
      <c r="I14" s="24">
        <v>267.5</v>
      </c>
      <c r="J14" s="52">
        <f t="shared" si="0"/>
        <v>0.27143581938102485</v>
      </c>
      <c r="K14" s="39">
        <f t="shared" si="1"/>
        <v>985.5</v>
      </c>
      <c r="L14" s="5"/>
    </row>
    <row r="15" spans="1:12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57.4</v>
      </c>
      <c r="F15" s="3">
        <v>57.4</v>
      </c>
      <c r="G15" s="3">
        <v>57.4</v>
      </c>
      <c r="H15" s="3">
        <v>57.4</v>
      </c>
      <c r="I15" s="3">
        <v>134.1</v>
      </c>
      <c r="J15" s="6">
        <f t="shared" ref="J15:J21" si="2">(I15*1000)/(8760*E15)</f>
        <v>0.26669371390387092</v>
      </c>
      <c r="K15" s="22">
        <f>E15*8760/1000</f>
        <v>502.82400000000001</v>
      </c>
    </row>
    <row r="16" spans="1:12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3">
        <v>20.5</v>
      </c>
      <c r="J16" s="6">
        <f t="shared" si="2"/>
        <v>0.20173988348291608</v>
      </c>
      <c r="K16" s="22">
        <f>E16*8760/1000</f>
        <v>101.616</v>
      </c>
    </row>
    <row r="17" spans="1:12" x14ac:dyDescent="0.3">
      <c r="A17" s="7" t="s">
        <v>14</v>
      </c>
      <c r="B17" s="8" t="s">
        <v>12</v>
      </c>
      <c r="C17" s="3" t="s">
        <v>13</v>
      </c>
      <c r="D17" s="4">
        <v>38718</v>
      </c>
      <c r="E17" s="3">
        <v>231</v>
      </c>
      <c r="F17" s="3">
        <v>231</v>
      </c>
      <c r="G17" s="3">
        <v>231</v>
      </c>
      <c r="H17" s="3">
        <v>231</v>
      </c>
      <c r="I17" s="3">
        <v>544.6</v>
      </c>
      <c r="J17" s="6">
        <f t="shared" si="2"/>
        <v>0.26912965269129652</v>
      </c>
      <c r="K17" s="22">
        <f>E17*8760/1000</f>
        <v>2023.56</v>
      </c>
    </row>
    <row r="18" spans="1:12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90.7</v>
      </c>
      <c r="F18" s="3">
        <v>90.7</v>
      </c>
      <c r="G18" s="3">
        <v>90.7</v>
      </c>
      <c r="H18" s="3">
        <v>90.7</v>
      </c>
      <c r="I18" s="3">
        <v>209.2</v>
      </c>
      <c r="J18" s="6">
        <f t="shared" si="2"/>
        <v>0.26329965312913767</v>
      </c>
      <c r="K18" s="22">
        <f>E18*8760/1000</f>
        <v>794.53200000000004</v>
      </c>
    </row>
    <row r="19" spans="1:12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>
        <v>215.5</v>
      </c>
      <c r="F19" s="3">
        <v>0</v>
      </c>
      <c r="G19" s="3">
        <v>0</v>
      </c>
      <c r="H19" s="3">
        <v>0</v>
      </c>
      <c r="I19" s="3">
        <v>513</v>
      </c>
      <c r="J19" s="6">
        <f t="shared" si="2"/>
        <v>0.27174776721863775</v>
      </c>
      <c r="K19" s="22">
        <f>E19*8760/1000</f>
        <v>1887.78</v>
      </c>
      <c r="L19" s="5"/>
    </row>
    <row r="20" spans="1:12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3"/>
      <c r="J20" s="6"/>
      <c r="K20" s="22"/>
      <c r="L20" s="5"/>
    </row>
    <row r="21" spans="1:12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3">
        <v>89.5</v>
      </c>
      <c r="J21" s="6">
        <f t="shared" si="2"/>
        <v>0.29614188339620146</v>
      </c>
      <c r="K21" s="22">
        <f>24*153*E21/1000</f>
        <v>126.684</v>
      </c>
    </row>
    <row r="22" spans="1:12" x14ac:dyDescent="0.3">
      <c r="A22" s="7" t="s">
        <v>144</v>
      </c>
      <c r="B22" s="8" t="s">
        <v>1</v>
      </c>
      <c r="C22" s="3" t="s">
        <v>145</v>
      </c>
      <c r="D22" s="4">
        <v>41609</v>
      </c>
      <c r="E22" s="3">
        <v>93.9</v>
      </c>
      <c r="F22" s="3">
        <v>88.5</v>
      </c>
      <c r="G22" s="3">
        <v>93.9</v>
      </c>
      <c r="H22" s="3">
        <v>93.9</v>
      </c>
      <c r="I22" s="3">
        <v>8.3000000000000007</v>
      </c>
      <c r="J22" s="6">
        <f>(I22*1000)/(31*24*E22)</f>
        <v>0.11880632564957</v>
      </c>
      <c r="K22" s="22"/>
      <c r="L22" t="s">
        <v>146</v>
      </c>
    </row>
    <row r="23" spans="1:12" x14ac:dyDescent="0.3">
      <c r="A23" s="7" t="s">
        <v>7</v>
      </c>
      <c r="B23" s="8" t="s">
        <v>8</v>
      </c>
      <c r="C23" s="3" t="s">
        <v>9</v>
      </c>
      <c r="D23" s="4">
        <v>39105</v>
      </c>
      <c r="E23" s="3">
        <v>20</v>
      </c>
      <c r="F23" s="3">
        <v>20</v>
      </c>
      <c r="G23" s="3">
        <v>20</v>
      </c>
      <c r="H23" s="3">
        <v>20</v>
      </c>
      <c r="I23" s="3">
        <v>53.5</v>
      </c>
      <c r="J23" s="6">
        <f>(I23*1000)/(8760*E23)</f>
        <v>0.30536529680365299</v>
      </c>
      <c r="K23" s="22">
        <f>E23*8760/1000</f>
        <v>175.2</v>
      </c>
    </row>
    <row r="24" spans="1:12" x14ac:dyDescent="0.3">
      <c r="A24" s="7" t="s">
        <v>37</v>
      </c>
      <c r="B24" s="8" t="s">
        <v>38</v>
      </c>
      <c r="C24" s="3" t="s">
        <v>34</v>
      </c>
      <c r="D24" s="4">
        <v>36800</v>
      </c>
      <c r="E24" s="3">
        <v>6.6</v>
      </c>
      <c r="F24" s="3">
        <v>0</v>
      </c>
      <c r="G24" s="3">
        <v>0</v>
      </c>
      <c r="H24" s="3">
        <v>0</v>
      </c>
      <c r="I24" s="3">
        <v>9.6</v>
      </c>
      <c r="J24" s="6">
        <f>(I24*1000)/(8760*E24)</f>
        <v>0.16604400166044</v>
      </c>
      <c r="K24" s="22">
        <f>E24*8760/1000</f>
        <v>57.816000000000003</v>
      </c>
    </row>
    <row r="25" spans="1:12" x14ac:dyDescent="0.3">
      <c r="A25" s="7" t="s">
        <v>33</v>
      </c>
      <c r="B25" s="8" t="s">
        <v>1</v>
      </c>
      <c r="C25" s="3" t="s">
        <v>34</v>
      </c>
      <c r="D25" s="4">
        <v>39793</v>
      </c>
      <c r="E25" s="3">
        <v>126</v>
      </c>
      <c r="F25" s="3">
        <v>126</v>
      </c>
      <c r="G25" s="3">
        <v>126</v>
      </c>
      <c r="H25" s="3">
        <v>126</v>
      </c>
      <c r="I25" s="3">
        <v>263.39999999999998</v>
      </c>
      <c r="J25" s="6">
        <f>(I25*1000)/(8760*E25)</f>
        <v>0.23863883452924547</v>
      </c>
      <c r="K25" s="22">
        <f>E25*8760/1000</f>
        <v>1103.76</v>
      </c>
    </row>
    <row r="26" spans="1:12" x14ac:dyDescent="0.3">
      <c r="A26" s="13" t="s">
        <v>66</v>
      </c>
      <c r="B26" s="3"/>
      <c r="C26" s="3"/>
      <c r="D26" s="3"/>
      <c r="E26" s="3">
        <f>SUM(E5:E25)</f>
        <v>1729.7</v>
      </c>
      <c r="F26" s="3">
        <f>SUM(F5:F25)</f>
        <v>1487.1000000000001</v>
      </c>
      <c r="G26" s="3">
        <f>SUM(G5:G25)</f>
        <v>1462.6000000000001</v>
      </c>
      <c r="H26" s="3">
        <f>SUM(H5:H25)</f>
        <v>1462.6000000000001</v>
      </c>
      <c r="I26" s="3">
        <f>SUM(I5:I25)</f>
        <v>3540.8</v>
      </c>
      <c r="J26" s="6">
        <f>I26/K26</f>
        <v>0.25016122568826837</v>
      </c>
      <c r="K26" s="21">
        <f>SUM(K5:K25)</f>
        <v>14154.072</v>
      </c>
    </row>
    <row r="27" spans="1:12" x14ac:dyDescent="0.3">
      <c r="A27" s="68"/>
      <c r="B27" s="5"/>
      <c r="C27" s="5"/>
      <c r="D27" s="5"/>
      <c r="E27" s="5"/>
      <c r="F27" s="5"/>
      <c r="G27" s="5"/>
      <c r="H27" s="5"/>
      <c r="I27" s="5"/>
      <c r="J27" s="18"/>
      <c r="K27" s="69"/>
    </row>
    <row r="29" spans="1:12" x14ac:dyDescent="0.3">
      <c r="A29" s="68" t="s">
        <v>176</v>
      </c>
      <c r="E29">
        <f>E12+E16+E17+E24</f>
        <v>279.20000000000005</v>
      </c>
      <c r="F29">
        <f t="shared" ref="F29:I29" si="3">F12+F16+F17+F24</f>
        <v>272.5</v>
      </c>
      <c r="G29">
        <f t="shared" si="3"/>
        <v>242.6</v>
      </c>
      <c r="H29">
        <f t="shared" si="3"/>
        <v>242.6</v>
      </c>
      <c r="I29">
        <f t="shared" si="3"/>
        <v>643</v>
      </c>
      <c r="K29" s="3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29"/>
  <sheetViews>
    <sheetView topLeftCell="A13" workbookViewId="0">
      <selection activeCell="A26" sqref="A26:I29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9" customWidth="1"/>
    <col min="11" max="11" width="9.109375" customWidth="1"/>
  </cols>
  <sheetData>
    <row r="1" spans="1:12" x14ac:dyDescent="0.3">
      <c r="A1" t="s">
        <v>77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51</v>
      </c>
      <c r="H3" s="9"/>
      <c r="I3" s="9" t="s">
        <v>57</v>
      </c>
      <c r="J3" s="10" t="s">
        <v>64</v>
      </c>
      <c r="K3" s="32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2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3">
        <v>172.5</v>
      </c>
      <c r="J5" s="6">
        <f t="shared" ref="J5:J18" si="0">(I5*1000)/(8760*E5)</f>
        <v>0.2019669827889006</v>
      </c>
      <c r="K5" s="22">
        <f>E5*8760/1000</f>
        <v>854.1</v>
      </c>
    </row>
    <row r="6" spans="1:12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3">
        <v>205</v>
      </c>
      <c r="J6" s="6">
        <f t="shared" si="0"/>
        <v>0.23285399486585337</v>
      </c>
      <c r="K6" s="22">
        <f t="shared" ref="K6:K24" si="1">E6*8760/1000</f>
        <v>880.38</v>
      </c>
    </row>
    <row r="7" spans="1:12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3">
        <v>247</v>
      </c>
      <c r="J7" s="6">
        <f t="shared" si="0"/>
        <v>0.22557077625570776</v>
      </c>
      <c r="K7" s="22">
        <f t="shared" si="1"/>
        <v>1095</v>
      </c>
    </row>
    <row r="8" spans="1:12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3">
        <v>191.8</v>
      </c>
      <c r="J8" s="6">
        <f t="shared" si="0"/>
        <v>0.2055866400840354</v>
      </c>
      <c r="K8" s="22">
        <f t="shared" si="1"/>
        <v>932.94</v>
      </c>
    </row>
    <row r="9" spans="1:12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3">
        <v>167.5</v>
      </c>
      <c r="J9" s="6">
        <f t="shared" si="0"/>
        <v>0.19025875190258751</v>
      </c>
      <c r="K9" s="22">
        <f t="shared" si="1"/>
        <v>880.38</v>
      </c>
    </row>
    <row r="10" spans="1:12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3">
        <v>157.80000000000001</v>
      </c>
      <c r="J10" s="6">
        <f t="shared" si="0"/>
        <v>0.22239134111280229</v>
      </c>
      <c r="K10" s="22">
        <f t="shared" si="1"/>
        <v>709.56</v>
      </c>
    </row>
    <row r="11" spans="1:12" x14ac:dyDescent="0.3">
      <c r="A11" s="7" t="s">
        <v>10</v>
      </c>
      <c r="B11" s="8" t="s">
        <v>8</v>
      </c>
      <c r="C11" s="3" t="s">
        <v>9</v>
      </c>
      <c r="D11" s="4">
        <v>40940</v>
      </c>
      <c r="E11" s="3">
        <v>15</v>
      </c>
      <c r="F11" s="3">
        <v>0</v>
      </c>
      <c r="G11" s="3">
        <v>0</v>
      </c>
      <c r="H11" s="3">
        <v>0</v>
      </c>
      <c r="I11" s="3">
        <v>33.299999999999997</v>
      </c>
      <c r="J11" s="6">
        <f t="shared" si="0"/>
        <v>0.25342465753424659</v>
      </c>
      <c r="K11" s="22">
        <f t="shared" si="1"/>
        <v>131.4</v>
      </c>
    </row>
    <row r="12" spans="1:12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3">
        <v>59</v>
      </c>
      <c r="J12" s="6">
        <f t="shared" si="0"/>
        <v>0.22450532724505326</v>
      </c>
      <c r="K12" s="22">
        <f t="shared" si="1"/>
        <v>262.8</v>
      </c>
    </row>
    <row r="13" spans="1:12" x14ac:dyDescent="0.3">
      <c r="A13" s="7" t="s">
        <v>15</v>
      </c>
      <c r="B13" s="8" t="s">
        <v>12</v>
      </c>
      <c r="C13" s="3" t="s">
        <v>16</v>
      </c>
      <c r="D13" s="4">
        <v>40575</v>
      </c>
      <c r="E13" s="3">
        <v>74</v>
      </c>
      <c r="F13" s="3">
        <v>74</v>
      </c>
      <c r="G13" s="3">
        <v>74</v>
      </c>
      <c r="H13" s="3">
        <v>74</v>
      </c>
      <c r="I13" s="3">
        <v>172.1</v>
      </c>
      <c r="J13" s="6">
        <f t="shared" si="0"/>
        <v>0.26548809083055658</v>
      </c>
      <c r="K13" s="22">
        <f t="shared" si="1"/>
        <v>648.24</v>
      </c>
    </row>
    <row r="14" spans="1:12" x14ac:dyDescent="0.3">
      <c r="A14" s="7" t="s">
        <v>73</v>
      </c>
      <c r="B14" s="8" t="s">
        <v>1</v>
      </c>
      <c r="C14" s="20" t="s">
        <v>74</v>
      </c>
      <c r="D14" s="4">
        <v>39845</v>
      </c>
      <c r="E14" s="20">
        <v>112.5</v>
      </c>
      <c r="F14" s="20">
        <v>112.5</v>
      </c>
      <c r="G14" s="20">
        <v>112.5</v>
      </c>
      <c r="H14" s="20">
        <v>112.5</v>
      </c>
      <c r="I14" s="20">
        <v>254.6</v>
      </c>
      <c r="J14" s="6">
        <f t="shared" si="0"/>
        <v>0.25834601725012685</v>
      </c>
      <c r="K14" s="22">
        <f t="shared" si="1"/>
        <v>985.5</v>
      </c>
      <c r="L14" s="5"/>
    </row>
    <row r="15" spans="1:12" x14ac:dyDescent="0.3">
      <c r="A15" s="7" t="s">
        <v>17</v>
      </c>
      <c r="B15" s="8" t="s">
        <v>1</v>
      </c>
      <c r="C15" s="3" t="s">
        <v>18</v>
      </c>
      <c r="D15" s="4">
        <v>40878</v>
      </c>
      <c r="E15" s="3">
        <v>55.4</v>
      </c>
      <c r="F15" s="3">
        <v>57.4</v>
      </c>
      <c r="G15" s="3">
        <v>55.4</v>
      </c>
      <c r="H15" s="3">
        <v>55.4</v>
      </c>
      <c r="I15" s="3">
        <v>115.1</v>
      </c>
      <c r="J15" s="6">
        <f t="shared" si="0"/>
        <v>0.23717092791322553</v>
      </c>
      <c r="K15" s="22">
        <f t="shared" si="1"/>
        <v>485.30399999999997</v>
      </c>
    </row>
    <row r="16" spans="1:12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3">
        <v>19</v>
      </c>
      <c r="J16" s="6">
        <f t="shared" si="0"/>
        <v>0.18697842859392222</v>
      </c>
      <c r="K16" s="22">
        <f t="shared" si="1"/>
        <v>101.616</v>
      </c>
    </row>
    <row r="17" spans="1:12" x14ac:dyDescent="0.3">
      <c r="A17" s="7" t="s">
        <v>14</v>
      </c>
      <c r="B17" s="8" t="s">
        <v>12</v>
      </c>
      <c r="C17" s="3" t="s">
        <v>13</v>
      </c>
      <c r="D17" s="4">
        <v>38718</v>
      </c>
      <c r="E17" s="20">
        <v>231</v>
      </c>
      <c r="F17" s="3">
        <v>231</v>
      </c>
      <c r="G17" s="3">
        <v>231</v>
      </c>
      <c r="H17" s="3">
        <v>231</v>
      </c>
      <c r="I17" s="3">
        <v>525.1</v>
      </c>
      <c r="J17" s="6">
        <f t="shared" si="0"/>
        <v>0.25949317045207454</v>
      </c>
      <c r="K17" s="22">
        <f t="shared" si="1"/>
        <v>2023.56</v>
      </c>
    </row>
    <row r="18" spans="1:12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90.8</v>
      </c>
      <c r="F18" s="3">
        <v>90.7</v>
      </c>
      <c r="G18" s="3">
        <v>90.8</v>
      </c>
      <c r="H18" s="3">
        <v>90.8</v>
      </c>
      <c r="I18" s="3">
        <v>201.3</v>
      </c>
      <c r="J18" s="6">
        <f t="shared" si="0"/>
        <v>0.25307766580170177</v>
      </c>
      <c r="K18" s="22">
        <f t="shared" si="1"/>
        <v>795.40800000000002</v>
      </c>
    </row>
    <row r="19" spans="1:12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>
        <v>215.5</v>
      </c>
      <c r="F19" s="3">
        <v>215.2</v>
      </c>
      <c r="G19" s="3">
        <v>0</v>
      </c>
      <c r="H19" s="3">
        <v>0</v>
      </c>
      <c r="I19" s="3">
        <v>142.6</v>
      </c>
      <c r="J19" s="6">
        <f>(I19*1000)/(24*153*E19)</f>
        <v>0.18020613762390753</v>
      </c>
      <c r="K19" s="22">
        <f>24*153*E19/1000</f>
        <v>791.31600000000003</v>
      </c>
      <c r="L19" s="5" t="s">
        <v>62</v>
      </c>
    </row>
    <row r="20" spans="1:12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3"/>
      <c r="J20" s="6"/>
      <c r="K20" s="22"/>
      <c r="L20" s="5"/>
    </row>
    <row r="21" spans="1:12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3">
        <v>86.7</v>
      </c>
      <c r="J21" s="6">
        <f>(I21*1000)/(8760*E21)</f>
        <v>0.2868771093905102</v>
      </c>
      <c r="K21" s="22">
        <f t="shared" si="1"/>
        <v>302.22000000000003</v>
      </c>
    </row>
    <row r="22" spans="1:12" x14ac:dyDescent="0.3">
      <c r="A22" s="7" t="s">
        <v>7</v>
      </c>
      <c r="B22" s="8" t="s">
        <v>8</v>
      </c>
      <c r="C22" s="3" t="s">
        <v>9</v>
      </c>
      <c r="D22" s="4">
        <v>39105</v>
      </c>
      <c r="E22" s="3">
        <v>20</v>
      </c>
      <c r="F22" s="3">
        <v>20</v>
      </c>
      <c r="G22" s="3">
        <v>20</v>
      </c>
      <c r="H22" s="3">
        <v>20</v>
      </c>
      <c r="I22" s="3">
        <v>48.5</v>
      </c>
      <c r="J22" s="6">
        <f>(I22*1000)/(8760*E22)</f>
        <v>0.27682648401826482</v>
      </c>
      <c r="K22" s="22">
        <f t="shared" si="1"/>
        <v>175.2</v>
      </c>
    </row>
    <row r="23" spans="1:12" x14ac:dyDescent="0.3">
      <c r="A23" s="7" t="s">
        <v>37</v>
      </c>
      <c r="B23" s="8" t="s">
        <v>38</v>
      </c>
      <c r="C23" s="3" t="s">
        <v>34</v>
      </c>
      <c r="D23" s="4">
        <v>36800</v>
      </c>
      <c r="E23" s="3">
        <v>6.6</v>
      </c>
      <c r="F23" s="3">
        <v>6.6</v>
      </c>
      <c r="G23" s="3">
        <v>0</v>
      </c>
      <c r="H23" s="3">
        <v>0</v>
      </c>
      <c r="I23" s="3">
        <v>12</v>
      </c>
      <c r="J23" s="6">
        <f>(I23*1000)/(8760*E23)</f>
        <v>0.20755500207555003</v>
      </c>
      <c r="K23" s="22">
        <f t="shared" si="1"/>
        <v>57.816000000000003</v>
      </c>
    </row>
    <row r="24" spans="1:12" x14ac:dyDescent="0.3">
      <c r="A24" s="7" t="s">
        <v>33</v>
      </c>
      <c r="B24" s="8" t="s">
        <v>1</v>
      </c>
      <c r="C24" s="3" t="s">
        <v>34</v>
      </c>
      <c r="D24" s="4">
        <v>39793</v>
      </c>
      <c r="E24" s="3">
        <v>126</v>
      </c>
      <c r="F24" s="3">
        <v>126</v>
      </c>
      <c r="G24" s="3">
        <v>126</v>
      </c>
      <c r="H24" s="3">
        <v>126</v>
      </c>
      <c r="I24" s="3">
        <v>249.3</v>
      </c>
      <c r="J24" s="6">
        <f>(I24*1000)/(8760*E24)</f>
        <v>0.22586431833007176</v>
      </c>
      <c r="K24" s="22">
        <f t="shared" si="1"/>
        <v>1103.76</v>
      </c>
    </row>
    <row r="25" spans="1:12" x14ac:dyDescent="0.3">
      <c r="A25" s="13" t="s">
        <v>66</v>
      </c>
      <c r="B25" s="3"/>
      <c r="C25" s="3"/>
      <c r="D25" s="3"/>
      <c r="E25" s="3">
        <f>SUM(E5:E24)</f>
        <v>1633.8999999999999</v>
      </c>
      <c r="F25" s="3">
        <f t="shared" ref="F25:K25" si="2">SUM(F5:F24)</f>
        <v>1620.4</v>
      </c>
      <c r="G25" s="3">
        <f t="shared" si="2"/>
        <v>1366.8</v>
      </c>
      <c r="H25" s="3">
        <f t="shared" si="2"/>
        <v>1366.8</v>
      </c>
      <c r="I25" s="3">
        <f t="shared" si="2"/>
        <v>3060.2</v>
      </c>
      <c r="J25" s="6">
        <f>I25/K25</f>
        <v>0.23154390345401576</v>
      </c>
      <c r="K25" s="21">
        <f t="shared" si="2"/>
        <v>13216.500000000002</v>
      </c>
    </row>
    <row r="26" spans="1:12" x14ac:dyDescent="0.3">
      <c r="A26" s="68"/>
      <c r="B26" s="5"/>
      <c r="C26" s="5"/>
      <c r="D26" s="5"/>
      <c r="E26" s="5"/>
      <c r="F26" s="5"/>
      <c r="G26" s="5"/>
      <c r="H26" s="5"/>
      <c r="I26" s="5"/>
    </row>
    <row r="27" spans="1:12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9" spans="1:12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615.1</v>
      </c>
    </row>
  </sheetData>
  <sortState xmlns:xlrd2="http://schemas.microsoft.com/office/spreadsheetml/2017/richdata2" ref="A6:M24">
    <sortCondition ref="A6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29"/>
  <sheetViews>
    <sheetView topLeftCell="A10" workbookViewId="0">
      <selection activeCell="A26" sqref="A26:I29"/>
    </sheetView>
  </sheetViews>
  <sheetFormatPr defaultRowHeight="14.4" x14ac:dyDescent="0.3"/>
  <cols>
    <col min="1" max="1" width="25.664062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</cols>
  <sheetData>
    <row r="1" spans="1:11" x14ac:dyDescent="0.3">
      <c r="A1" t="s">
        <v>78</v>
      </c>
    </row>
    <row r="3" spans="1:11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75</v>
      </c>
      <c r="H3" s="9"/>
      <c r="I3" s="9" t="s">
        <v>72</v>
      </c>
      <c r="J3" s="10" t="s">
        <v>64</v>
      </c>
      <c r="K3" s="32" t="s">
        <v>93</v>
      </c>
    </row>
    <row r="4" spans="1:11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1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3">
        <v>178.7</v>
      </c>
      <c r="J5" s="6">
        <f t="shared" ref="J5:J14" si="0">(I5*1000)/(8760*E5)</f>
        <v>0.20922608593841471</v>
      </c>
      <c r="K5" s="22">
        <f>E5*8760/1000</f>
        <v>854.1</v>
      </c>
    </row>
    <row r="6" spans="1:11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3">
        <v>190.8</v>
      </c>
      <c r="J6" s="6">
        <f t="shared" si="0"/>
        <v>0.21672459619709672</v>
      </c>
      <c r="K6" s="22">
        <f t="shared" ref="K6:K24" si="1">E6*8760/1000</f>
        <v>880.38</v>
      </c>
    </row>
    <row r="7" spans="1:11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3">
        <v>242.4</v>
      </c>
      <c r="J7" s="6">
        <f t="shared" si="0"/>
        <v>0.22136986301369863</v>
      </c>
      <c r="K7" s="22">
        <f t="shared" si="1"/>
        <v>1095</v>
      </c>
    </row>
    <row r="8" spans="1:11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3">
        <v>201.8</v>
      </c>
      <c r="J8" s="6">
        <f t="shared" si="0"/>
        <v>0.21630544300812485</v>
      </c>
      <c r="K8" s="22">
        <f t="shared" si="1"/>
        <v>932.94</v>
      </c>
    </row>
    <row r="9" spans="1:11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3">
        <v>174.4</v>
      </c>
      <c r="J9" s="6">
        <f t="shared" si="0"/>
        <v>0.19809627660782844</v>
      </c>
      <c r="K9" s="22">
        <f t="shared" si="1"/>
        <v>880.38</v>
      </c>
    </row>
    <row r="10" spans="1:11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3">
        <v>167.9</v>
      </c>
      <c r="J10" s="6">
        <f t="shared" si="0"/>
        <v>0.23662551440329219</v>
      </c>
      <c r="K10" s="22">
        <f t="shared" si="1"/>
        <v>709.56</v>
      </c>
    </row>
    <row r="11" spans="1:11" x14ac:dyDescent="0.3">
      <c r="A11" s="13" t="s">
        <v>10</v>
      </c>
      <c r="B11" s="27" t="s">
        <v>8</v>
      </c>
      <c r="C11" s="20" t="s">
        <v>9</v>
      </c>
      <c r="D11" s="23">
        <v>40940</v>
      </c>
      <c r="E11" s="20"/>
      <c r="F11" s="20"/>
      <c r="G11" s="20"/>
      <c r="H11" s="20"/>
      <c r="I11" s="20"/>
      <c r="J11" s="28"/>
      <c r="K11" s="22"/>
    </row>
    <row r="12" spans="1:11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3">
        <v>66</v>
      </c>
      <c r="J12" s="6">
        <f t="shared" si="0"/>
        <v>0.25114155251141551</v>
      </c>
      <c r="K12" s="22">
        <f t="shared" si="1"/>
        <v>262.8</v>
      </c>
    </row>
    <row r="13" spans="1:11" x14ac:dyDescent="0.3">
      <c r="A13" s="13" t="s">
        <v>15</v>
      </c>
      <c r="B13" s="27" t="s">
        <v>12</v>
      </c>
      <c r="C13" s="20" t="s">
        <v>16</v>
      </c>
      <c r="D13" s="23">
        <v>40575</v>
      </c>
      <c r="E13" s="20">
        <v>74</v>
      </c>
      <c r="F13" s="20">
        <v>74</v>
      </c>
      <c r="G13" s="20">
        <v>74</v>
      </c>
      <c r="H13" s="20">
        <v>74</v>
      </c>
      <c r="I13" s="20">
        <v>147.69999999999999</v>
      </c>
      <c r="J13" s="28">
        <f t="shared" si="0"/>
        <v>0.22784771072442306</v>
      </c>
      <c r="K13" s="22">
        <f t="shared" si="1"/>
        <v>648.24</v>
      </c>
    </row>
    <row r="14" spans="1:11" x14ac:dyDescent="0.3">
      <c r="A14" s="7" t="s">
        <v>73</v>
      </c>
      <c r="B14" s="8" t="s">
        <v>1</v>
      </c>
      <c r="C14" s="20" t="s">
        <v>74</v>
      </c>
      <c r="D14" s="4">
        <v>39845</v>
      </c>
      <c r="E14" s="20">
        <v>112.5</v>
      </c>
      <c r="F14" s="20">
        <v>112.5</v>
      </c>
      <c r="G14" s="20">
        <v>112.5</v>
      </c>
      <c r="H14" s="20">
        <v>112.5</v>
      </c>
      <c r="I14" s="20">
        <v>261.10000000000002</v>
      </c>
      <c r="J14" s="6">
        <f t="shared" si="0"/>
        <v>0.26494165398274988</v>
      </c>
      <c r="K14" s="22">
        <f t="shared" si="1"/>
        <v>985.5</v>
      </c>
    </row>
    <row r="15" spans="1:11" x14ac:dyDescent="0.3">
      <c r="A15" s="13" t="s">
        <v>17</v>
      </c>
      <c r="B15" s="27" t="s">
        <v>1</v>
      </c>
      <c r="C15" s="20" t="s">
        <v>18</v>
      </c>
      <c r="D15" s="23">
        <v>40878</v>
      </c>
      <c r="E15" s="20"/>
      <c r="F15" s="20"/>
      <c r="G15" s="20"/>
      <c r="H15" s="20"/>
      <c r="I15" s="20"/>
      <c r="J15" s="28"/>
      <c r="K15" s="22"/>
    </row>
    <row r="16" spans="1:11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3">
        <v>21.7</v>
      </c>
      <c r="J16" s="6">
        <f>(I16*1000)/(8760*E16)</f>
        <v>0.21354904739411115</v>
      </c>
      <c r="K16" s="22">
        <f t="shared" si="1"/>
        <v>101.616</v>
      </c>
    </row>
    <row r="17" spans="1:11" x14ac:dyDescent="0.3">
      <c r="A17" s="7" t="s">
        <v>14</v>
      </c>
      <c r="B17" s="8" t="s">
        <v>12</v>
      </c>
      <c r="C17" s="3" t="s">
        <v>13</v>
      </c>
      <c r="D17" s="4">
        <v>38718</v>
      </c>
      <c r="E17" s="20">
        <v>231</v>
      </c>
      <c r="F17" s="3">
        <v>231</v>
      </c>
      <c r="G17" s="3">
        <v>231</v>
      </c>
      <c r="H17" s="3">
        <v>231</v>
      </c>
      <c r="I17" s="3">
        <v>530.20000000000005</v>
      </c>
      <c r="J17" s="6">
        <f>(I17*1000)/(8760*E17)</f>
        <v>0.26201348119156337</v>
      </c>
      <c r="K17" s="22">
        <f t="shared" si="1"/>
        <v>2023.56</v>
      </c>
    </row>
    <row r="18" spans="1:11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90.8</v>
      </c>
      <c r="F18" s="3">
        <v>90.7</v>
      </c>
      <c r="G18" s="3">
        <v>90.8</v>
      </c>
      <c r="H18" s="3">
        <v>90.8</v>
      </c>
      <c r="I18" s="3">
        <v>202.1</v>
      </c>
      <c r="J18" s="6">
        <f>(I18*1000)/(8760*E18)</f>
        <v>0.2540834389395128</v>
      </c>
      <c r="K18" s="22">
        <f t="shared" si="1"/>
        <v>795.40800000000002</v>
      </c>
    </row>
    <row r="19" spans="1:11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/>
      <c r="F19" s="3"/>
      <c r="G19" s="3"/>
      <c r="H19" s="3"/>
      <c r="I19" s="3"/>
      <c r="J19" s="6"/>
      <c r="K19" s="22"/>
    </row>
    <row r="20" spans="1:11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3"/>
      <c r="J20" s="6"/>
      <c r="K20" s="22"/>
    </row>
    <row r="21" spans="1:11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3">
        <v>87.5</v>
      </c>
      <c r="J21" s="6">
        <f>(I21*1000)/(8760*E21)</f>
        <v>0.2895241876778506</v>
      </c>
      <c r="K21" s="22">
        <f t="shared" si="1"/>
        <v>302.22000000000003</v>
      </c>
    </row>
    <row r="22" spans="1:11" x14ac:dyDescent="0.3">
      <c r="A22" s="7" t="s">
        <v>7</v>
      </c>
      <c r="B22" s="8" t="s">
        <v>8</v>
      </c>
      <c r="C22" s="3" t="s">
        <v>9</v>
      </c>
      <c r="D22" s="4">
        <v>39105</v>
      </c>
      <c r="E22" s="3">
        <v>20</v>
      </c>
      <c r="F22" s="3">
        <v>20</v>
      </c>
      <c r="G22" s="3">
        <v>20</v>
      </c>
      <c r="H22" s="3">
        <v>20</v>
      </c>
      <c r="I22" s="3">
        <v>38.4</v>
      </c>
      <c r="J22" s="6">
        <f>(I22*1000)/(8760*E22)</f>
        <v>0.21917808219178081</v>
      </c>
      <c r="K22" s="22">
        <f t="shared" si="1"/>
        <v>175.2</v>
      </c>
    </row>
    <row r="23" spans="1:11" x14ac:dyDescent="0.3">
      <c r="A23" s="7" t="s">
        <v>37</v>
      </c>
      <c r="B23" s="8" t="s">
        <v>38</v>
      </c>
      <c r="C23" s="3" t="s">
        <v>34</v>
      </c>
      <c r="D23" s="4">
        <v>36800</v>
      </c>
      <c r="E23" s="3">
        <v>6.6</v>
      </c>
      <c r="F23" s="3">
        <v>6.6</v>
      </c>
      <c r="G23" s="3">
        <v>0</v>
      </c>
      <c r="H23" s="3">
        <v>0</v>
      </c>
      <c r="I23" s="3">
        <v>13.4</v>
      </c>
      <c r="J23" s="6">
        <f>(I23*1000)/(8760*E23)</f>
        <v>0.23176975231769753</v>
      </c>
      <c r="K23" s="22">
        <f t="shared" si="1"/>
        <v>57.816000000000003</v>
      </c>
    </row>
    <row r="24" spans="1:11" x14ac:dyDescent="0.3">
      <c r="A24" s="7" t="s">
        <v>33</v>
      </c>
      <c r="B24" s="8" t="s">
        <v>1</v>
      </c>
      <c r="C24" s="3" t="s">
        <v>34</v>
      </c>
      <c r="D24" s="4">
        <v>39793</v>
      </c>
      <c r="E24" s="3">
        <v>126</v>
      </c>
      <c r="F24" s="3">
        <v>126</v>
      </c>
      <c r="G24" s="3">
        <v>126</v>
      </c>
      <c r="H24" s="3">
        <v>126</v>
      </c>
      <c r="I24" s="3">
        <v>256.5</v>
      </c>
      <c r="J24" s="6">
        <f>(I24*1000)/(8760*E24)</f>
        <v>0.23238747553816047</v>
      </c>
      <c r="K24" s="22">
        <f t="shared" si="1"/>
        <v>1103.76</v>
      </c>
    </row>
    <row r="25" spans="1:11" x14ac:dyDescent="0.3">
      <c r="A25" s="13" t="s">
        <v>66</v>
      </c>
      <c r="B25" s="3"/>
      <c r="C25" s="3"/>
      <c r="D25" s="3"/>
      <c r="E25" s="3">
        <f>SUM(E4:E21)</f>
        <v>1195.3999999999999</v>
      </c>
      <c r="F25" s="3">
        <f t="shared" ref="F25:I25" si="2">SUM(F4:F21)</f>
        <v>1195.2</v>
      </c>
      <c r="G25" s="3">
        <f t="shared" si="2"/>
        <v>1165.3999999999999</v>
      </c>
      <c r="H25" s="3">
        <f t="shared" si="2"/>
        <v>1165.3999999999999</v>
      </c>
      <c r="I25" s="3">
        <f t="shared" si="2"/>
        <v>2472.3000000000002</v>
      </c>
      <c r="J25" s="28">
        <f>I25/K25</f>
        <v>0.20936648916710701</v>
      </c>
      <c r="K25" s="21">
        <f t="shared" ref="K25" si="3">SUM(K5:K24)</f>
        <v>11808.480000000001</v>
      </c>
    </row>
    <row r="26" spans="1:11" x14ac:dyDescent="0.3">
      <c r="A26" s="68"/>
      <c r="B26" s="5"/>
      <c r="C26" s="5"/>
      <c r="D26" s="5"/>
      <c r="E26" s="5"/>
      <c r="F26" s="5"/>
      <c r="G26" s="5"/>
      <c r="H26" s="5"/>
      <c r="I26" s="5"/>
      <c r="J26" s="18"/>
    </row>
    <row r="27" spans="1:11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9" spans="1:11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631.30000000000007</v>
      </c>
    </row>
  </sheetData>
  <sortState xmlns:xlrd2="http://schemas.microsoft.com/office/spreadsheetml/2017/richdata2" ref="A5:J22">
    <sortCondition ref="A5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31"/>
  <sheetViews>
    <sheetView topLeftCell="A10" workbookViewId="0">
      <selection activeCell="J36" sqref="J36"/>
    </sheetView>
  </sheetViews>
  <sheetFormatPr defaultRowHeight="14.4" x14ac:dyDescent="0.3"/>
  <cols>
    <col min="1" max="1" width="25.664062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</cols>
  <sheetData>
    <row r="1" spans="1:13" x14ac:dyDescent="0.3">
      <c r="A1" t="s">
        <v>79</v>
      </c>
    </row>
    <row r="2" spans="1:13" x14ac:dyDescent="0.3"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x14ac:dyDescent="0.3">
      <c r="A3" s="9"/>
      <c r="B3" s="9"/>
      <c r="C3" s="10"/>
      <c r="D3" s="10" t="s">
        <v>45</v>
      </c>
      <c r="E3" s="10" t="s">
        <v>47</v>
      </c>
      <c r="F3" s="10" t="s">
        <v>49</v>
      </c>
      <c r="G3" s="10" t="s">
        <v>75</v>
      </c>
      <c r="H3" s="10"/>
      <c r="I3" s="10" t="s">
        <v>76</v>
      </c>
      <c r="J3" s="10" t="s">
        <v>64</v>
      </c>
      <c r="K3" s="32" t="s">
        <v>93</v>
      </c>
      <c r="L3" s="25"/>
      <c r="M3" s="25"/>
    </row>
    <row r="4" spans="1:13" x14ac:dyDescent="0.3">
      <c r="A4" s="11" t="s">
        <v>39</v>
      </c>
      <c r="B4" s="11" t="s">
        <v>40</v>
      </c>
      <c r="C4" s="12" t="s">
        <v>42</v>
      </c>
      <c r="D4" s="12" t="s">
        <v>46</v>
      </c>
      <c r="E4" s="12" t="s">
        <v>48</v>
      </c>
      <c r="F4" s="12" t="s">
        <v>50</v>
      </c>
      <c r="G4" s="12" t="s">
        <v>52</v>
      </c>
      <c r="H4" s="12" t="s">
        <v>53</v>
      </c>
      <c r="I4" s="12" t="s">
        <v>58</v>
      </c>
      <c r="J4" s="12" t="s">
        <v>65</v>
      </c>
      <c r="K4" s="33" t="s">
        <v>94</v>
      </c>
      <c r="L4" s="25"/>
      <c r="M4" s="25"/>
    </row>
    <row r="5" spans="1:13" x14ac:dyDescent="0.3">
      <c r="A5" s="7" t="s">
        <v>24</v>
      </c>
      <c r="B5" s="8" t="s">
        <v>22</v>
      </c>
      <c r="C5" s="20" t="s">
        <v>25</v>
      </c>
      <c r="D5" s="23">
        <v>39714</v>
      </c>
      <c r="E5" s="22">
        <v>97.5</v>
      </c>
      <c r="F5" s="22">
        <v>97.5</v>
      </c>
      <c r="G5" s="22">
        <v>97.5</v>
      </c>
      <c r="H5" s="22">
        <v>97.5</v>
      </c>
      <c r="I5" s="22">
        <v>188.1</v>
      </c>
      <c r="J5" s="28">
        <f t="shared" ref="J5:J14" si="0">(I5*1000)/(8760*E5)</f>
        <v>0.220231822971549</v>
      </c>
      <c r="K5" s="22">
        <f>E5*8760/1000</f>
        <v>854.1</v>
      </c>
      <c r="L5" s="39">
        <v>65</v>
      </c>
      <c r="M5" t="s">
        <v>102</v>
      </c>
    </row>
    <row r="6" spans="1:13" x14ac:dyDescent="0.3">
      <c r="A6" s="7" t="s">
        <v>26</v>
      </c>
      <c r="B6" s="8" t="s">
        <v>8</v>
      </c>
      <c r="C6" s="20" t="s">
        <v>27</v>
      </c>
      <c r="D6" s="23">
        <v>39527</v>
      </c>
      <c r="E6" s="22">
        <v>100.5</v>
      </c>
      <c r="F6" s="22">
        <v>100.5</v>
      </c>
      <c r="G6" s="22">
        <v>100.5</v>
      </c>
      <c r="H6" s="22">
        <v>100.5</v>
      </c>
      <c r="I6" s="22">
        <v>187.6</v>
      </c>
      <c r="J6" s="28">
        <f t="shared" si="0"/>
        <v>0.21308980213089801</v>
      </c>
      <c r="K6" s="22">
        <f t="shared" ref="K6:K24" si="1">E6*8760/1000</f>
        <v>880.38</v>
      </c>
      <c r="L6" s="39">
        <v>67</v>
      </c>
      <c r="M6" t="s">
        <v>104</v>
      </c>
    </row>
    <row r="7" spans="1:13" x14ac:dyDescent="0.3">
      <c r="A7" s="7" t="s">
        <v>0</v>
      </c>
      <c r="B7" s="8" t="s">
        <v>1</v>
      </c>
      <c r="C7" s="20" t="s">
        <v>2</v>
      </c>
      <c r="D7" s="23">
        <v>39787</v>
      </c>
      <c r="E7" s="22">
        <v>125</v>
      </c>
      <c r="F7" s="22">
        <v>125</v>
      </c>
      <c r="G7" s="22">
        <v>125</v>
      </c>
      <c r="H7" s="22">
        <v>125</v>
      </c>
      <c r="I7" s="22">
        <v>258.5</v>
      </c>
      <c r="J7" s="28">
        <f t="shared" si="0"/>
        <v>0.23607305936073059</v>
      </c>
      <c r="K7" s="22">
        <f t="shared" si="1"/>
        <v>1095</v>
      </c>
      <c r="L7" s="39">
        <v>84</v>
      </c>
      <c r="M7" t="s">
        <v>106</v>
      </c>
    </row>
    <row r="8" spans="1:13" x14ac:dyDescent="0.3">
      <c r="A8" s="7" t="s">
        <v>28</v>
      </c>
      <c r="B8" s="8" t="s">
        <v>22</v>
      </c>
      <c r="C8" s="20" t="s">
        <v>29</v>
      </c>
      <c r="D8" s="23">
        <v>39728</v>
      </c>
      <c r="E8" s="22">
        <v>106.5</v>
      </c>
      <c r="F8" s="22">
        <v>106.5</v>
      </c>
      <c r="G8" s="22">
        <v>106.5</v>
      </c>
      <c r="H8" s="22">
        <v>106.5</v>
      </c>
      <c r="I8" s="22">
        <v>192.2</v>
      </c>
      <c r="J8" s="28">
        <f t="shared" si="0"/>
        <v>0.20601539220099899</v>
      </c>
      <c r="K8" s="22">
        <f t="shared" si="1"/>
        <v>932.94</v>
      </c>
      <c r="L8" s="40">
        <v>71</v>
      </c>
      <c r="M8" t="s">
        <v>103</v>
      </c>
    </row>
    <row r="9" spans="1:13" x14ac:dyDescent="0.3">
      <c r="A9" s="7" t="s">
        <v>30</v>
      </c>
      <c r="B9" s="8" t="s">
        <v>22</v>
      </c>
      <c r="C9" s="20" t="s">
        <v>31</v>
      </c>
      <c r="D9" s="23">
        <v>39547</v>
      </c>
      <c r="E9" s="22">
        <v>100.5</v>
      </c>
      <c r="F9" s="22">
        <v>100.5</v>
      </c>
      <c r="G9" s="22">
        <v>100.5</v>
      </c>
      <c r="H9" s="22">
        <v>100.5</v>
      </c>
      <c r="I9" s="22">
        <v>173.8</v>
      </c>
      <c r="J9" s="28">
        <f t="shared" si="0"/>
        <v>0.19741475272041617</v>
      </c>
      <c r="K9" s="22">
        <f t="shared" si="1"/>
        <v>880.38</v>
      </c>
      <c r="L9" s="40">
        <v>67</v>
      </c>
      <c r="M9" t="s">
        <v>104</v>
      </c>
    </row>
    <row r="10" spans="1:13" x14ac:dyDescent="0.3">
      <c r="A10" s="7" t="s">
        <v>32</v>
      </c>
      <c r="B10" s="8" t="s">
        <v>22</v>
      </c>
      <c r="C10" s="20" t="s">
        <v>23</v>
      </c>
      <c r="D10" s="23">
        <v>39538</v>
      </c>
      <c r="E10" s="22">
        <v>81</v>
      </c>
      <c r="F10" s="22">
        <v>81</v>
      </c>
      <c r="G10" s="22">
        <v>81</v>
      </c>
      <c r="H10" s="22">
        <v>81</v>
      </c>
      <c r="I10" s="22">
        <v>157.5</v>
      </c>
      <c r="J10" s="28">
        <f t="shared" si="0"/>
        <v>0.22196854388635209</v>
      </c>
      <c r="K10" s="22">
        <f t="shared" si="1"/>
        <v>709.56</v>
      </c>
      <c r="L10" s="40">
        <v>54</v>
      </c>
      <c r="M10" t="s">
        <v>105</v>
      </c>
    </row>
    <row r="11" spans="1:13" x14ac:dyDescent="0.3">
      <c r="A11" s="7" t="s">
        <v>10</v>
      </c>
      <c r="B11" s="8" t="s">
        <v>8</v>
      </c>
      <c r="C11" s="20" t="s">
        <v>9</v>
      </c>
      <c r="D11" s="23">
        <v>40940</v>
      </c>
      <c r="E11" s="20"/>
      <c r="F11" s="20"/>
      <c r="G11" s="20"/>
      <c r="H11" s="20"/>
      <c r="I11" s="20"/>
      <c r="J11" s="28"/>
      <c r="K11" s="22"/>
      <c r="L11" s="40"/>
    </row>
    <row r="12" spans="1:13" x14ac:dyDescent="0.3">
      <c r="A12" s="7" t="s">
        <v>5</v>
      </c>
      <c r="B12" s="8" t="s">
        <v>1</v>
      </c>
      <c r="C12" s="20" t="s">
        <v>6</v>
      </c>
      <c r="D12" s="23">
        <v>37226</v>
      </c>
      <c r="E12" s="22">
        <v>30</v>
      </c>
      <c r="F12" s="22">
        <v>30</v>
      </c>
      <c r="G12" s="22">
        <v>0</v>
      </c>
      <c r="H12" s="22">
        <v>0</v>
      </c>
      <c r="I12" s="22">
        <v>26.1</v>
      </c>
      <c r="J12" s="28">
        <f t="shared" si="0"/>
        <v>9.9315068493150679E-2</v>
      </c>
      <c r="K12" s="22">
        <f t="shared" si="1"/>
        <v>262.8</v>
      </c>
      <c r="L12" s="40">
        <v>20</v>
      </c>
      <c r="M12" t="s">
        <v>109</v>
      </c>
    </row>
    <row r="13" spans="1:13" x14ac:dyDescent="0.3">
      <c r="A13" s="7" t="s">
        <v>15</v>
      </c>
      <c r="B13" s="8" t="s">
        <v>12</v>
      </c>
      <c r="C13" s="20" t="s">
        <v>16</v>
      </c>
      <c r="D13" s="23">
        <v>40575</v>
      </c>
      <c r="E13" s="20">
        <v>74</v>
      </c>
      <c r="F13" s="20">
        <v>74</v>
      </c>
      <c r="G13" s="20">
        <v>74</v>
      </c>
      <c r="H13" s="20">
        <v>74</v>
      </c>
      <c r="I13" s="20">
        <v>0</v>
      </c>
      <c r="J13" s="28">
        <f t="shared" si="0"/>
        <v>0</v>
      </c>
      <c r="K13" s="22">
        <f t="shared" si="1"/>
        <v>648.24</v>
      </c>
      <c r="L13" s="41">
        <v>37</v>
      </c>
      <c r="M13" t="s">
        <v>110</v>
      </c>
    </row>
    <row r="14" spans="1:13" x14ac:dyDescent="0.3">
      <c r="A14" s="7" t="s">
        <v>73</v>
      </c>
      <c r="B14" s="8" t="s">
        <v>1</v>
      </c>
      <c r="C14" s="20" t="s">
        <v>74</v>
      </c>
      <c r="D14" s="23">
        <v>39845</v>
      </c>
      <c r="E14" s="22">
        <v>112.5</v>
      </c>
      <c r="F14" s="22">
        <v>112.5</v>
      </c>
      <c r="G14" s="22">
        <v>112.5</v>
      </c>
      <c r="H14" s="22">
        <v>112.5</v>
      </c>
      <c r="I14" s="22">
        <v>241</v>
      </c>
      <c r="J14" s="28">
        <f t="shared" si="0"/>
        <v>0.24454591577879248</v>
      </c>
      <c r="K14" s="22">
        <f t="shared" si="1"/>
        <v>985.5</v>
      </c>
      <c r="L14" s="25"/>
    </row>
    <row r="15" spans="1:13" x14ac:dyDescent="0.3">
      <c r="A15" s="7" t="s">
        <v>17</v>
      </c>
      <c r="B15" s="8" t="s">
        <v>1</v>
      </c>
      <c r="C15" s="20" t="s">
        <v>18</v>
      </c>
      <c r="D15" s="23">
        <v>40878</v>
      </c>
      <c r="E15" s="20"/>
      <c r="F15" s="20"/>
      <c r="G15" s="20"/>
      <c r="H15" s="20"/>
      <c r="I15" s="20"/>
      <c r="J15" s="28"/>
      <c r="K15" s="22"/>
      <c r="L15" s="41">
        <v>27</v>
      </c>
      <c r="M15" t="s">
        <v>111</v>
      </c>
    </row>
    <row r="16" spans="1:13" x14ac:dyDescent="0.3">
      <c r="A16" s="7" t="s">
        <v>19</v>
      </c>
      <c r="B16" s="8" t="s">
        <v>12</v>
      </c>
      <c r="C16" s="20" t="s">
        <v>20</v>
      </c>
      <c r="D16" s="23">
        <v>36770</v>
      </c>
      <c r="E16" s="22">
        <v>11.6</v>
      </c>
      <c r="F16" s="22">
        <v>11.5</v>
      </c>
      <c r="G16" s="22">
        <v>11.6</v>
      </c>
      <c r="H16" s="22">
        <v>11.6</v>
      </c>
      <c r="I16" s="22">
        <v>18</v>
      </c>
      <c r="J16" s="28">
        <f>(I16*1000)/(8760*E16)</f>
        <v>0.17713745866792632</v>
      </c>
      <c r="K16" s="22">
        <f t="shared" si="1"/>
        <v>101.616</v>
      </c>
      <c r="L16" s="41">
        <v>7</v>
      </c>
      <c r="M16" t="s">
        <v>112</v>
      </c>
    </row>
    <row r="17" spans="1:13" x14ac:dyDescent="0.3">
      <c r="A17" s="7" t="s">
        <v>14</v>
      </c>
      <c r="B17" s="8" t="s">
        <v>12</v>
      </c>
      <c r="C17" s="20" t="s">
        <v>13</v>
      </c>
      <c r="D17" s="23">
        <v>38718</v>
      </c>
      <c r="E17" s="22">
        <v>231</v>
      </c>
      <c r="F17" s="22">
        <v>231</v>
      </c>
      <c r="G17" s="22">
        <v>231</v>
      </c>
      <c r="H17" s="22">
        <v>231</v>
      </c>
      <c r="I17" s="22">
        <v>494.7</v>
      </c>
      <c r="J17" s="28">
        <f>(I17*1000)/(8760*E17)</f>
        <v>0.2444701417304157</v>
      </c>
      <c r="K17" s="22">
        <f t="shared" si="1"/>
        <v>2023.56</v>
      </c>
      <c r="L17" s="41">
        <v>140</v>
      </c>
      <c r="M17" s="38" t="s">
        <v>99</v>
      </c>
    </row>
    <row r="18" spans="1:13" x14ac:dyDescent="0.3">
      <c r="A18" s="7" t="s">
        <v>11</v>
      </c>
      <c r="B18" s="8" t="s">
        <v>12</v>
      </c>
      <c r="C18" s="20" t="s">
        <v>13</v>
      </c>
      <c r="D18" s="23">
        <v>39417</v>
      </c>
      <c r="E18" s="22">
        <v>90.8</v>
      </c>
      <c r="F18" s="22">
        <v>90.7</v>
      </c>
      <c r="G18" s="22">
        <v>90.8</v>
      </c>
      <c r="H18" s="22">
        <v>90.8</v>
      </c>
      <c r="I18" s="22">
        <v>193.6</v>
      </c>
      <c r="J18" s="28">
        <f>(I18*1000)/(8760*E18)</f>
        <v>0.24339709935027054</v>
      </c>
      <c r="K18" s="22">
        <f t="shared" si="1"/>
        <v>795.40800000000002</v>
      </c>
      <c r="L18" s="41">
        <v>55</v>
      </c>
      <c r="M18" s="38" t="s">
        <v>100</v>
      </c>
    </row>
    <row r="19" spans="1:13" x14ac:dyDescent="0.3">
      <c r="A19" s="7" t="s">
        <v>21</v>
      </c>
      <c r="B19" s="8" t="s">
        <v>22</v>
      </c>
      <c r="C19" s="3" t="s">
        <v>23</v>
      </c>
      <c r="D19" s="4">
        <v>41091</v>
      </c>
      <c r="E19" s="22"/>
      <c r="F19" s="22"/>
      <c r="G19" s="22"/>
      <c r="H19" s="22"/>
      <c r="I19" s="22"/>
      <c r="J19" s="28"/>
      <c r="K19" s="22"/>
      <c r="L19" s="25"/>
      <c r="M19" s="24"/>
    </row>
    <row r="20" spans="1:13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22"/>
      <c r="F20" s="22"/>
      <c r="G20" s="22"/>
      <c r="H20" s="22"/>
      <c r="I20" s="22"/>
      <c r="J20" s="28"/>
      <c r="K20" s="22"/>
      <c r="L20" s="25"/>
      <c r="M20" s="24"/>
    </row>
    <row r="21" spans="1:13" x14ac:dyDescent="0.3">
      <c r="A21" s="7" t="s">
        <v>35</v>
      </c>
      <c r="B21" s="8" t="s">
        <v>12</v>
      </c>
      <c r="C21" s="20" t="s">
        <v>36</v>
      </c>
      <c r="D21" s="23">
        <v>39314</v>
      </c>
      <c r="E21" s="22">
        <v>34.5</v>
      </c>
      <c r="F21" s="22">
        <v>34.5</v>
      </c>
      <c r="G21" s="22">
        <v>34.5</v>
      </c>
      <c r="H21" s="22">
        <v>34.5</v>
      </c>
      <c r="I21" s="22">
        <v>84.7</v>
      </c>
      <c r="J21" s="28">
        <f>(I21*1000)/(8760*E21)</f>
        <v>0.28025941367215934</v>
      </c>
      <c r="K21" s="22">
        <f t="shared" si="1"/>
        <v>302.22000000000003</v>
      </c>
      <c r="L21" s="41">
        <v>23</v>
      </c>
      <c r="M21" s="24" t="s">
        <v>113</v>
      </c>
    </row>
    <row r="22" spans="1:13" x14ac:dyDescent="0.3">
      <c r="A22" s="7" t="s">
        <v>7</v>
      </c>
      <c r="B22" s="8" t="s">
        <v>8</v>
      </c>
      <c r="C22" s="20" t="s">
        <v>9</v>
      </c>
      <c r="D22" s="23">
        <v>39105</v>
      </c>
      <c r="E22" s="22">
        <v>20</v>
      </c>
      <c r="F22" s="22">
        <v>20</v>
      </c>
      <c r="G22" s="22">
        <v>20</v>
      </c>
      <c r="H22" s="22">
        <v>20</v>
      </c>
      <c r="I22" s="22">
        <v>48.3</v>
      </c>
      <c r="J22" s="28">
        <f>(I22*1000)/(8760*E22)</f>
        <v>0.27568493150684931</v>
      </c>
      <c r="K22" s="22">
        <f t="shared" si="1"/>
        <v>175.2</v>
      </c>
      <c r="L22" s="41">
        <v>8</v>
      </c>
      <c r="M22" t="s">
        <v>108</v>
      </c>
    </row>
    <row r="23" spans="1:13" x14ac:dyDescent="0.3">
      <c r="A23" s="7" t="s">
        <v>37</v>
      </c>
      <c r="B23" s="8" t="s">
        <v>38</v>
      </c>
      <c r="C23" s="20" t="s">
        <v>34</v>
      </c>
      <c r="D23" s="23">
        <v>36800</v>
      </c>
      <c r="E23" s="22">
        <v>6.6</v>
      </c>
      <c r="F23" s="22">
        <v>6.6</v>
      </c>
      <c r="G23" s="22">
        <v>0</v>
      </c>
      <c r="H23" s="22">
        <v>0</v>
      </c>
      <c r="I23" s="22">
        <v>13.3</v>
      </c>
      <c r="J23" s="28">
        <f>(I23*1000)/(8760*E23)</f>
        <v>0.23004012730040127</v>
      </c>
      <c r="K23" s="22">
        <f t="shared" si="1"/>
        <v>57.816000000000003</v>
      </c>
      <c r="L23" s="41">
        <v>10</v>
      </c>
      <c r="M23" t="s">
        <v>114</v>
      </c>
    </row>
    <row r="24" spans="1:13" x14ac:dyDescent="0.3">
      <c r="A24" s="7" t="s">
        <v>33</v>
      </c>
      <c r="B24" s="8" t="s">
        <v>1</v>
      </c>
      <c r="C24" s="20" t="s">
        <v>34</v>
      </c>
      <c r="D24" s="23">
        <v>39793</v>
      </c>
      <c r="E24" s="22">
        <v>126</v>
      </c>
      <c r="F24" s="22">
        <v>126</v>
      </c>
      <c r="G24" s="22">
        <v>126</v>
      </c>
      <c r="H24" s="22">
        <v>126</v>
      </c>
      <c r="I24" s="22">
        <v>255.4</v>
      </c>
      <c r="J24" s="28">
        <f>(I24*1000)/(8760*E24)</f>
        <v>0.23139088207581357</v>
      </c>
      <c r="K24" s="22">
        <f t="shared" si="1"/>
        <v>1103.76</v>
      </c>
      <c r="L24" s="41">
        <v>10</v>
      </c>
      <c r="M24" t="s">
        <v>101</v>
      </c>
    </row>
    <row r="25" spans="1:13" x14ac:dyDescent="0.3">
      <c r="A25" s="13" t="s">
        <v>66</v>
      </c>
      <c r="B25" s="3"/>
      <c r="C25" s="20"/>
      <c r="D25" s="20"/>
      <c r="E25" s="22">
        <f>SUM(E5:E21)</f>
        <v>1195.3999999999999</v>
      </c>
      <c r="F25" s="22">
        <f>SUM(F5:F21)</f>
        <v>1195.2</v>
      </c>
      <c r="G25" s="22">
        <f t="shared" ref="G25:H25" si="2">SUM(G4:G21)</f>
        <v>1165.3999999999999</v>
      </c>
      <c r="H25" s="22">
        <f t="shared" si="2"/>
        <v>1165.3999999999999</v>
      </c>
      <c r="I25" s="22">
        <f>SUM(I5:I21)</f>
        <v>2215.7999999999997</v>
      </c>
      <c r="J25" s="28">
        <f>I25/K25</f>
        <v>0.18764481118653709</v>
      </c>
      <c r="K25" s="21">
        <f t="shared" ref="K25:L25" si="3">SUM(K5:K24)</f>
        <v>11808.480000000001</v>
      </c>
      <c r="L25" s="21">
        <f t="shared" si="3"/>
        <v>745</v>
      </c>
      <c r="M25" s="25"/>
    </row>
    <row r="26" spans="1:13" x14ac:dyDescent="0.3">
      <c r="A26" s="68"/>
      <c r="B26" s="5"/>
      <c r="C26" s="5"/>
      <c r="D26" s="5"/>
      <c r="E26" s="5"/>
      <c r="F26" s="5"/>
      <c r="G26" s="5"/>
      <c r="H26" s="5"/>
      <c r="I26" s="5"/>
      <c r="J26" s="29"/>
      <c r="K26" s="25"/>
      <c r="L26" s="25"/>
      <c r="M26" s="25"/>
    </row>
    <row r="27" spans="1:13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8" spans="1:13" x14ac:dyDescent="0.3">
      <c r="K28" s="25"/>
      <c r="L28" s="25"/>
      <c r="M28" s="25"/>
    </row>
    <row r="29" spans="1:13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552.09999999999991</v>
      </c>
      <c r="K29" s="25"/>
      <c r="L29" s="25"/>
      <c r="M29" s="25"/>
    </row>
    <row r="30" spans="1:13" x14ac:dyDescent="0.3"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</row>
    <row r="31" spans="1:13" x14ac:dyDescent="0.3"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</sheetData>
  <sortState xmlns:xlrd2="http://schemas.microsoft.com/office/spreadsheetml/2017/richdata2" ref="A5:J22">
    <sortCondition ref="A5"/>
  </sortState>
  <pageMargins left="0.7" right="0.7" top="0.75" bottom="0.75" header="0.3" footer="0.3"/>
  <pageSetup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9"/>
  <sheetViews>
    <sheetView workbookViewId="0">
      <selection activeCell="A26" sqref="A26:I29"/>
    </sheetView>
  </sheetViews>
  <sheetFormatPr defaultRowHeight="14.4" x14ac:dyDescent="0.3"/>
  <cols>
    <col min="1" max="1" width="25.664062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  <col min="11" max="11" width="8.88671875" customWidth="1"/>
    <col min="12" max="12" width="9.109375" customWidth="1"/>
  </cols>
  <sheetData>
    <row r="1" spans="1:15" x14ac:dyDescent="0.3">
      <c r="A1" t="s">
        <v>80</v>
      </c>
    </row>
    <row r="3" spans="1:15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75</v>
      </c>
      <c r="H3" s="9"/>
      <c r="I3" s="10" t="s">
        <v>90</v>
      </c>
      <c r="J3" s="10" t="s">
        <v>64</v>
      </c>
      <c r="K3" s="32" t="s">
        <v>93</v>
      </c>
      <c r="L3" s="25"/>
      <c r="M3" s="25"/>
      <c r="N3" s="25"/>
      <c r="O3" s="25"/>
    </row>
    <row r="4" spans="1:15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2" t="s">
        <v>58</v>
      </c>
      <c r="J4" s="12" t="s">
        <v>65</v>
      </c>
      <c r="K4" s="33" t="s">
        <v>94</v>
      </c>
      <c r="L4" s="25"/>
      <c r="M4" s="25"/>
      <c r="N4" s="25"/>
      <c r="O4" s="25"/>
    </row>
    <row r="5" spans="1:15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20">
        <v>62.4</v>
      </c>
      <c r="J5" s="28">
        <f>(I5*1000)/(L5*E5)</f>
        <v>0.17429193899782136</v>
      </c>
      <c r="K5" s="22">
        <f>E5*(31+30+31+30+31)*24/1000</f>
        <v>358.02</v>
      </c>
      <c r="L5" s="25">
        <f>(31+30+31+30+31)*24</f>
        <v>3672</v>
      </c>
      <c r="M5" s="25" t="s">
        <v>85</v>
      </c>
      <c r="N5" s="25"/>
      <c r="O5" s="25"/>
    </row>
    <row r="6" spans="1:15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20">
        <v>193.8</v>
      </c>
      <c r="J6" s="28">
        <f>(I6*1000)/(8760*E6)</f>
        <v>0.22013221563415797</v>
      </c>
      <c r="K6" s="22">
        <f t="shared" ref="K6:K23" si="0">E6*8760/1000</f>
        <v>880.38</v>
      </c>
      <c r="L6" s="25"/>
      <c r="M6" s="25"/>
      <c r="N6" s="25"/>
      <c r="O6" s="25"/>
    </row>
    <row r="7" spans="1:15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20">
        <v>198.9</v>
      </c>
      <c r="J7" s="28">
        <f>(I7*1000)/(L7*E7)</f>
        <v>0.19850299401197605</v>
      </c>
      <c r="K7" s="22">
        <f>E7*(31+30+31+30+31+31+30+31+30+31+28)*24/1000</f>
        <v>1002</v>
      </c>
      <c r="L7" s="25">
        <f>(31+30+31+30+31+31+30+31+30+31+28)*24</f>
        <v>8016</v>
      </c>
      <c r="M7" s="25" t="s">
        <v>84</v>
      </c>
      <c r="N7" s="25"/>
      <c r="O7" s="25"/>
    </row>
    <row r="8" spans="1:15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20">
        <v>72</v>
      </c>
      <c r="J8" s="28">
        <f>(I8*1000)/(L8*E8)</f>
        <v>0.1841112031667127</v>
      </c>
      <c r="K8" s="22">
        <f>E8*(31+30+31+30+31)*24/1000</f>
        <v>391.06799999999998</v>
      </c>
      <c r="L8" s="25">
        <f>(31+30+31+30+31)*24</f>
        <v>3672</v>
      </c>
      <c r="M8" s="25" t="s">
        <v>85</v>
      </c>
      <c r="N8" s="25"/>
      <c r="O8" s="25"/>
    </row>
    <row r="9" spans="1:15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20">
        <v>178</v>
      </c>
      <c r="J9" s="28">
        <f>(I9*1000)/(8760*E9)</f>
        <v>0.20218541993230196</v>
      </c>
      <c r="K9" s="22">
        <f t="shared" si="0"/>
        <v>880.38</v>
      </c>
      <c r="L9" s="25"/>
      <c r="M9" s="25"/>
      <c r="N9" s="25"/>
      <c r="O9" s="25"/>
    </row>
    <row r="10" spans="1:15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20">
        <v>161.69999999999999</v>
      </c>
      <c r="J10" s="28">
        <f>(I10*1000)/(8760*E10)</f>
        <v>0.22788770505665482</v>
      </c>
      <c r="K10" s="22">
        <f t="shared" si="0"/>
        <v>709.56</v>
      </c>
      <c r="L10" s="25"/>
      <c r="M10" s="25"/>
      <c r="N10" s="25"/>
      <c r="O10" s="25"/>
    </row>
    <row r="11" spans="1:15" x14ac:dyDescent="0.3">
      <c r="A11" s="7" t="s">
        <v>10</v>
      </c>
      <c r="B11" s="8" t="s">
        <v>8</v>
      </c>
      <c r="C11" s="3" t="s">
        <v>9</v>
      </c>
      <c r="D11" s="23">
        <v>40940</v>
      </c>
      <c r="E11" s="3"/>
      <c r="F11" s="3"/>
      <c r="G11" s="3"/>
      <c r="H11" s="3"/>
      <c r="I11" s="20"/>
      <c r="J11" s="28"/>
      <c r="K11" s="22"/>
      <c r="L11" s="24"/>
      <c r="M11" s="25"/>
      <c r="N11" s="25"/>
      <c r="O11" s="25"/>
    </row>
    <row r="12" spans="1:15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20">
        <v>68.599999999999994</v>
      </c>
      <c r="J12" s="28">
        <f>(I12*1000)/(8760*E12)</f>
        <v>0.26103500761035009</v>
      </c>
      <c r="K12" s="22">
        <f t="shared" si="0"/>
        <v>262.8</v>
      </c>
      <c r="L12" s="24"/>
      <c r="M12" s="25"/>
      <c r="N12" s="25"/>
      <c r="O12" s="25"/>
    </row>
    <row r="13" spans="1:15" x14ac:dyDescent="0.3">
      <c r="A13" s="7" t="s">
        <v>15</v>
      </c>
      <c r="B13" s="8" t="s">
        <v>12</v>
      </c>
      <c r="C13" s="3" t="s">
        <v>16</v>
      </c>
      <c r="D13" s="23">
        <v>40575</v>
      </c>
      <c r="E13" s="3">
        <v>74</v>
      </c>
      <c r="F13" s="3">
        <v>74</v>
      </c>
      <c r="G13" s="3">
        <v>74</v>
      </c>
      <c r="H13" s="3">
        <v>74</v>
      </c>
      <c r="I13" s="20">
        <v>0</v>
      </c>
      <c r="J13" s="28">
        <f>(I13*1000)/(8760*E13)</f>
        <v>0</v>
      </c>
      <c r="K13" s="22">
        <f t="shared" si="0"/>
        <v>648.24</v>
      </c>
      <c r="L13" s="24"/>
      <c r="M13" s="25"/>
      <c r="N13" s="25"/>
      <c r="O13" s="25"/>
    </row>
    <row r="14" spans="1:15" x14ac:dyDescent="0.3">
      <c r="A14" s="7" t="s">
        <v>73</v>
      </c>
      <c r="B14" s="8" t="s">
        <v>1</v>
      </c>
      <c r="C14" s="20" t="s">
        <v>74</v>
      </c>
      <c r="D14" s="4">
        <v>39845</v>
      </c>
      <c r="E14" s="20">
        <v>112.5</v>
      </c>
      <c r="F14" s="20">
        <v>112.5</v>
      </c>
      <c r="G14" s="20">
        <v>112.5</v>
      </c>
      <c r="H14" s="20">
        <v>112.5</v>
      </c>
      <c r="I14" s="20">
        <v>184.3</v>
      </c>
      <c r="J14" s="28">
        <f>(I14*1000)/(L14*E14)</f>
        <v>0.22306947470346164</v>
      </c>
      <c r="K14" s="22">
        <f>E14*(31+30+31+30+31+31+30+31+30+31)*24/1000</f>
        <v>826.2</v>
      </c>
      <c r="L14" s="25">
        <f>(31+30+31+30+31+31+30+31+30+31)*24</f>
        <v>7344</v>
      </c>
      <c r="M14" s="25" t="s">
        <v>86</v>
      </c>
      <c r="N14" s="25"/>
      <c r="O14" s="25"/>
    </row>
    <row r="15" spans="1:15" x14ac:dyDescent="0.3">
      <c r="A15" s="7" t="s">
        <v>17</v>
      </c>
      <c r="B15" s="8" t="s">
        <v>1</v>
      </c>
      <c r="C15" s="3" t="s">
        <v>18</v>
      </c>
      <c r="D15" s="23">
        <v>40878</v>
      </c>
      <c r="E15" s="3">
        <v>55.4</v>
      </c>
      <c r="F15" s="3">
        <v>57.4</v>
      </c>
      <c r="G15" s="3">
        <v>55.4</v>
      </c>
      <c r="H15" s="3">
        <v>55.4</v>
      </c>
      <c r="I15" s="20">
        <v>0</v>
      </c>
      <c r="J15" s="28">
        <f>(I15*1000)/(8760*E15)</f>
        <v>0</v>
      </c>
      <c r="K15" s="22">
        <f t="shared" si="0"/>
        <v>485.30399999999997</v>
      </c>
      <c r="L15" s="25"/>
      <c r="M15" s="25"/>
      <c r="N15" s="25"/>
      <c r="O15" s="25"/>
    </row>
    <row r="16" spans="1:15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20">
        <v>19.7</v>
      </c>
      <c r="J16" s="28">
        <f>(I16*1000)/(8760*E16)</f>
        <v>0.19386710754211936</v>
      </c>
      <c r="K16" s="22">
        <f t="shared" si="0"/>
        <v>101.616</v>
      </c>
      <c r="L16" s="24"/>
      <c r="M16" s="25"/>
      <c r="N16" s="25"/>
      <c r="O16" s="25"/>
    </row>
    <row r="17" spans="1:15" x14ac:dyDescent="0.3">
      <c r="A17" s="7" t="s">
        <v>14</v>
      </c>
      <c r="B17" s="8" t="s">
        <v>12</v>
      </c>
      <c r="C17" s="3" t="s">
        <v>13</v>
      </c>
      <c r="D17" s="4">
        <v>38718</v>
      </c>
      <c r="E17" s="20">
        <v>231</v>
      </c>
      <c r="F17" s="3">
        <v>231</v>
      </c>
      <c r="G17" s="3">
        <v>231</v>
      </c>
      <c r="H17" s="3">
        <v>231</v>
      </c>
      <c r="I17" s="20">
        <v>527.9</v>
      </c>
      <c r="J17" s="28">
        <f>(I17*1000)/(8760*E17)</f>
        <v>0.26087687046591157</v>
      </c>
      <c r="K17" s="22">
        <f t="shared" si="0"/>
        <v>2023.56</v>
      </c>
      <c r="L17" s="24"/>
      <c r="M17" s="25"/>
      <c r="N17" s="25"/>
      <c r="O17" s="25"/>
    </row>
    <row r="18" spans="1:15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90.8</v>
      </c>
      <c r="F18" s="3">
        <v>90.7</v>
      </c>
      <c r="G18" s="3">
        <v>90.8</v>
      </c>
      <c r="H18" s="3">
        <v>90.8</v>
      </c>
      <c r="I18" s="20">
        <v>203.4</v>
      </c>
      <c r="J18" s="28">
        <f>(I18*1000)/(8760*E18)</f>
        <v>0.25571782028845574</v>
      </c>
      <c r="K18" s="22">
        <f t="shared" si="0"/>
        <v>795.40800000000002</v>
      </c>
      <c r="L18" s="25"/>
      <c r="M18" s="25"/>
      <c r="N18" s="25"/>
      <c r="O18" s="25"/>
    </row>
    <row r="19" spans="1:15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/>
      <c r="F19" s="3"/>
      <c r="G19" s="3"/>
      <c r="H19" s="3"/>
      <c r="I19" s="20"/>
      <c r="J19" s="28"/>
      <c r="K19" s="22"/>
      <c r="L19" s="25"/>
      <c r="M19" s="25"/>
      <c r="N19" s="25"/>
      <c r="O19" s="25"/>
    </row>
    <row r="20" spans="1:15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20"/>
      <c r="J20" s="28"/>
      <c r="K20" s="22"/>
      <c r="L20" s="25"/>
      <c r="M20" s="25"/>
      <c r="N20" s="25"/>
      <c r="O20" s="25"/>
    </row>
    <row r="21" spans="1:15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20">
        <v>88.9</v>
      </c>
      <c r="J21" s="28">
        <f>(I21*1000)/(8760*E21)</f>
        <v>0.29415657468069617</v>
      </c>
      <c r="K21" s="22">
        <f t="shared" si="0"/>
        <v>302.22000000000003</v>
      </c>
      <c r="L21" s="25"/>
      <c r="M21" s="25"/>
      <c r="N21" s="25"/>
      <c r="O21" s="25"/>
    </row>
    <row r="22" spans="1:15" x14ac:dyDescent="0.3">
      <c r="A22" s="7" t="s">
        <v>7</v>
      </c>
      <c r="B22" s="8" t="s">
        <v>8</v>
      </c>
      <c r="C22" s="3" t="s">
        <v>9</v>
      </c>
      <c r="D22" s="4">
        <v>39105</v>
      </c>
      <c r="E22" s="3">
        <v>20</v>
      </c>
      <c r="F22" s="3">
        <v>20</v>
      </c>
      <c r="G22" s="3">
        <v>20</v>
      </c>
      <c r="H22" s="3">
        <v>20</v>
      </c>
      <c r="I22" s="20">
        <v>42.3</v>
      </c>
      <c r="J22" s="28">
        <f>(I22*1000)/(8760*E22)</f>
        <v>0.24143835616438356</v>
      </c>
      <c r="K22" s="22">
        <f t="shared" si="0"/>
        <v>175.2</v>
      </c>
      <c r="L22" s="25"/>
      <c r="M22" s="25"/>
      <c r="N22" s="25"/>
      <c r="O22" s="25"/>
    </row>
    <row r="23" spans="1:15" x14ac:dyDescent="0.3">
      <c r="A23" s="7" t="s">
        <v>37</v>
      </c>
      <c r="B23" s="8" t="s">
        <v>38</v>
      </c>
      <c r="C23" s="3" t="s">
        <v>34</v>
      </c>
      <c r="D23" s="4">
        <v>36800</v>
      </c>
      <c r="E23" s="3">
        <v>6.6</v>
      </c>
      <c r="F23" s="3">
        <v>6.6</v>
      </c>
      <c r="G23" s="3">
        <v>0</v>
      </c>
      <c r="H23" s="3">
        <v>0</v>
      </c>
      <c r="I23" s="20">
        <v>13.7</v>
      </c>
      <c r="J23" s="28">
        <f>(I23*1000)/(8760*E23)</f>
        <v>0.23695862736958628</v>
      </c>
      <c r="K23" s="22">
        <f t="shared" si="0"/>
        <v>57.816000000000003</v>
      </c>
      <c r="L23" s="25"/>
      <c r="M23" s="25"/>
      <c r="N23" s="25"/>
      <c r="O23" s="25"/>
    </row>
    <row r="24" spans="1:15" x14ac:dyDescent="0.3">
      <c r="A24" s="7" t="s">
        <v>33</v>
      </c>
      <c r="B24" s="8" t="s">
        <v>1</v>
      </c>
      <c r="C24" s="3" t="s">
        <v>34</v>
      </c>
      <c r="D24" s="4">
        <v>39793</v>
      </c>
      <c r="E24" s="3">
        <v>126</v>
      </c>
      <c r="F24" s="3">
        <v>126</v>
      </c>
      <c r="G24" s="3">
        <v>126</v>
      </c>
      <c r="H24" s="3">
        <v>126</v>
      </c>
      <c r="I24" s="20">
        <v>92.7</v>
      </c>
      <c r="J24" s="28">
        <f>(I24*1000)/(L24*E24)</f>
        <v>0.20035792094615623</v>
      </c>
      <c r="K24" s="22">
        <f>E24*(31+30+31+30+31)*24/1000</f>
        <v>462.67200000000003</v>
      </c>
      <c r="L24" s="25">
        <f>(31+30+31+30+31)*24</f>
        <v>3672</v>
      </c>
      <c r="M24" s="25" t="s">
        <v>85</v>
      </c>
      <c r="N24" s="25"/>
      <c r="O24" s="25"/>
    </row>
    <row r="25" spans="1:15" x14ac:dyDescent="0.3">
      <c r="A25" s="13" t="s">
        <v>66</v>
      </c>
      <c r="B25" s="3"/>
      <c r="C25" s="3"/>
      <c r="D25" s="3"/>
      <c r="E25" s="3">
        <f>SUM(E4:E21)</f>
        <v>1250.8</v>
      </c>
      <c r="F25" s="3">
        <f t="shared" ref="F25:I25" si="1">SUM(F4:F21)</f>
        <v>1252.6000000000001</v>
      </c>
      <c r="G25" s="3">
        <f t="shared" si="1"/>
        <v>1220.8</v>
      </c>
      <c r="H25" s="3">
        <f t="shared" si="1"/>
        <v>1220.8</v>
      </c>
      <c r="I25" s="20">
        <f t="shared" si="1"/>
        <v>1959.6000000000004</v>
      </c>
      <c r="J25" s="28">
        <f>I25/K25</f>
        <v>0.18910596766554305</v>
      </c>
      <c r="K25" s="21">
        <f t="shared" ref="K25" si="2">SUM(K5:K24)</f>
        <v>10362.444</v>
      </c>
      <c r="L25" s="25"/>
      <c r="M25" s="25"/>
      <c r="N25" s="25"/>
      <c r="O25" s="25"/>
    </row>
    <row r="26" spans="1:15" x14ac:dyDescent="0.3">
      <c r="A26" s="68"/>
      <c r="B26" s="5"/>
      <c r="C26" s="5"/>
      <c r="D26" s="5"/>
      <c r="E26" s="5"/>
      <c r="F26" s="5"/>
      <c r="G26" s="5"/>
      <c r="H26" s="5"/>
      <c r="I26" s="5"/>
      <c r="J26" s="18"/>
      <c r="K26" s="18"/>
    </row>
    <row r="27" spans="1:15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9" spans="1:15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629.9</v>
      </c>
    </row>
  </sheetData>
  <sortState xmlns:xlrd2="http://schemas.microsoft.com/office/spreadsheetml/2017/richdata2" ref="A5:L22">
    <sortCondition ref="A5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9"/>
  <sheetViews>
    <sheetView topLeftCell="A13" workbookViewId="0">
      <selection activeCell="A26" sqref="A26:I29"/>
    </sheetView>
  </sheetViews>
  <sheetFormatPr defaultRowHeight="14.4" x14ac:dyDescent="0.3"/>
  <cols>
    <col min="1" max="1" width="25.664062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</cols>
  <sheetData>
    <row r="1" spans="1:12" x14ac:dyDescent="0.3">
      <c r="A1" t="s">
        <v>81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75</v>
      </c>
      <c r="H3" s="9"/>
      <c r="I3" s="9" t="s">
        <v>89</v>
      </c>
      <c r="J3" s="10" t="s">
        <v>64</v>
      </c>
      <c r="K3" s="32" t="s">
        <v>93</v>
      </c>
    </row>
    <row r="4" spans="1:12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2" x14ac:dyDescent="0.3">
      <c r="A5" s="7" t="s">
        <v>24</v>
      </c>
      <c r="B5" s="8" t="s">
        <v>22</v>
      </c>
      <c r="C5" s="3" t="s">
        <v>25</v>
      </c>
      <c r="D5" s="4">
        <v>39714</v>
      </c>
      <c r="E5" s="3">
        <v>97.5</v>
      </c>
      <c r="F5" s="3">
        <v>97.5</v>
      </c>
      <c r="G5" s="3">
        <v>97.5</v>
      </c>
      <c r="H5" s="3">
        <v>97.5</v>
      </c>
      <c r="I5" s="3">
        <v>0.70299999999999996</v>
      </c>
      <c r="J5" s="6">
        <f>I5/K5</f>
        <v>9.6912048524951735E-3</v>
      </c>
      <c r="K5" s="22">
        <f>E5*31*24/1000</f>
        <v>72.540000000000006</v>
      </c>
      <c r="L5" t="s">
        <v>96</v>
      </c>
    </row>
    <row r="6" spans="1:12" x14ac:dyDescent="0.3">
      <c r="A6" s="7" t="s">
        <v>26</v>
      </c>
      <c r="B6" s="8" t="s">
        <v>8</v>
      </c>
      <c r="C6" s="3" t="s">
        <v>27</v>
      </c>
      <c r="D6" s="4">
        <v>39527</v>
      </c>
      <c r="E6" s="3">
        <v>100.5</v>
      </c>
      <c r="F6" s="3">
        <v>100.5</v>
      </c>
      <c r="G6" s="3">
        <v>100.5</v>
      </c>
      <c r="H6" s="3">
        <v>100.5</v>
      </c>
      <c r="I6" s="3">
        <v>124.101</v>
      </c>
      <c r="J6" s="6">
        <f t="shared" ref="J6:J12" si="0">I6/K6</f>
        <v>0.1681421324748805</v>
      </c>
      <c r="K6" s="22">
        <f>E6*306*24/1000</f>
        <v>738.072</v>
      </c>
      <c r="L6" t="s">
        <v>97</v>
      </c>
    </row>
    <row r="7" spans="1:12" x14ac:dyDescent="0.3">
      <c r="A7" s="7" t="s">
        <v>0</v>
      </c>
      <c r="B7" s="8" t="s">
        <v>1</v>
      </c>
      <c r="C7" s="3" t="s">
        <v>2</v>
      </c>
      <c r="D7" s="4">
        <v>39787</v>
      </c>
      <c r="E7" s="3">
        <v>125</v>
      </c>
      <c r="F7" s="3">
        <v>125</v>
      </c>
      <c r="G7" s="3">
        <v>125</v>
      </c>
      <c r="H7" s="3">
        <v>125</v>
      </c>
      <c r="I7" s="3">
        <v>10.154999999999999</v>
      </c>
      <c r="J7" s="6">
        <f t="shared" si="0"/>
        <v>5.5491803278688523E-2</v>
      </c>
      <c r="K7" s="22">
        <f>E7*61*24/1000</f>
        <v>183</v>
      </c>
      <c r="L7" t="s">
        <v>95</v>
      </c>
    </row>
    <row r="8" spans="1:12" x14ac:dyDescent="0.3">
      <c r="A8" s="7" t="s">
        <v>28</v>
      </c>
      <c r="B8" s="8" t="s">
        <v>22</v>
      </c>
      <c r="C8" s="3" t="s">
        <v>29</v>
      </c>
      <c r="D8" s="4">
        <v>39728</v>
      </c>
      <c r="E8" s="3">
        <v>106.5</v>
      </c>
      <c r="F8" s="3">
        <v>106.5</v>
      </c>
      <c r="G8" s="3">
        <v>106.5</v>
      </c>
      <c r="H8" s="3">
        <v>106.5</v>
      </c>
      <c r="I8" s="3">
        <v>16.094999999999999</v>
      </c>
      <c r="J8" s="6">
        <f t="shared" si="0"/>
        <v>0.10322866158700839</v>
      </c>
      <c r="K8" s="22">
        <f>E8*61*24/1000</f>
        <v>155.916</v>
      </c>
      <c r="L8" t="s">
        <v>95</v>
      </c>
    </row>
    <row r="9" spans="1:12" x14ac:dyDescent="0.3">
      <c r="A9" s="7" t="s">
        <v>30</v>
      </c>
      <c r="B9" s="8" t="s">
        <v>22</v>
      </c>
      <c r="C9" s="3" t="s">
        <v>31</v>
      </c>
      <c r="D9" s="4">
        <v>39547</v>
      </c>
      <c r="E9" s="3">
        <v>100.5</v>
      </c>
      <c r="F9" s="3">
        <v>100.5</v>
      </c>
      <c r="G9" s="3">
        <v>100.5</v>
      </c>
      <c r="H9" s="3">
        <v>100.5</v>
      </c>
      <c r="I9" s="3">
        <v>75.709999999999994</v>
      </c>
      <c r="J9" s="6">
        <f t="shared" si="0"/>
        <v>0.11414141414141414</v>
      </c>
      <c r="K9" s="22">
        <f>E9*275*24/1000</f>
        <v>663.3</v>
      </c>
      <c r="L9" t="s">
        <v>98</v>
      </c>
    </row>
    <row r="10" spans="1:12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>
        <v>81</v>
      </c>
      <c r="F10" s="3">
        <v>81</v>
      </c>
      <c r="G10" s="3">
        <v>81</v>
      </c>
      <c r="H10" s="3">
        <v>81</v>
      </c>
      <c r="I10" s="3">
        <v>76.55</v>
      </c>
      <c r="J10" s="6">
        <f t="shared" si="0"/>
        <v>0.12868487587078725</v>
      </c>
      <c r="K10" s="22">
        <f>E10*306*24/1000</f>
        <v>594.86400000000003</v>
      </c>
      <c r="L10" t="s">
        <v>97</v>
      </c>
    </row>
    <row r="11" spans="1:12" x14ac:dyDescent="0.3">
      <c r="A11" s="7" t="s">
        <v>10</v>
      </c>
      <c r="B11" s="8" t="s">
        <v>8</v>
      </c>
      <c r="C11" s="3" t="s">
        <v>9</v>
      </c>
      <c r="D11" s="23">
        <v>40940</v>
      </c>
      <c r="E11" s="3"/>
      <c r="F11" s="3"/>
      <c r="G11" s="3"/>
      <c r="H11" s="3"/>
      <c r="I11" s="3"/>
      <c r="J11" s="6"/>
      <c r="K11" s="22"/>
    </row>
    <row r="12" spans="1:12" x14ac:dyDescent="0.3">
      <c r="A12" s="7" t="s">
        <v>5</v>
      </c>
      <c r="B12" s="8" t="s">
        <v>1</v>
      </c>
      <c r="C12" s="3" t="s">
        <v>6</v>
      </c>
      <c r="D12" s="4">
        <v>37226</v>
      </c>
      <c r="E12" s="3">
        <v>30</v>
      </c>
      <c r="F12" s="3">
        <v>30</v>
      </c>
      <c r="G12" s="3">
        <v>0</v>
      </c>
      <c r="H12" s="3">
        <v>0</v>
      </c>
      <c r="I12" s="3">
        <v>70.914000000000001</v>
      </c>
      <c r="J12" s="6">
        <f t="shared" si="0"/>
        <v>0.26984018264840182</v>
      </c>
      <c r="K12" s="22">
        <f t="shared" ref="K12:K23" si="1">E12*8760/1000</f>
        <v>262.8</v>
      </c>
    </row>
    <row r="13" spans="1:12" x14ac:dyDescent="0.3">
      <c r="A13" s="7" t="s">
        <v>15</v>
      </c>
      <c r="B13" s="8" t="s">
        <v>12</v>
      </c>
      <c r="C13" s="3" t="s">
        <v>16</v>
      </c>
      <c r="D13" s="23">
        <v>40575</v>
      </c>
      <c r="E13" s="3"/>
      <c r="F13" s="3"/>
      <c r="G13" s="3"/>
      <c r="H13" s="3"/>
      <c r="I13" s="3"/>
      <c r="J13" s="6"/>
      <c r="K13" s="22"/>
    </row>
    <row r="14" spans="1:12" x14ac:dyDescent="0.3">
      <c r="A14" s="7" t="s">
        <v>73</v>
      </c>
      <c r="B14" s="8" t="s">
        <v>1</v>
      </c>
      <c r="C14" s="20" t="s">
        <v>74</v>
      </c>
      <c r="D14" s="4">
        <v>39845</v>
      </c>
      <c r="E14" s="20">
        <v>112.5</v>
      </c>
      <c r="F14" s="20"/>
      <c r="G14" s="20"/>
      <c r="H14" s="20"/>
      <c r="I14" s="20"/>
      <c r="J14" s="6"/>
      <c r="K14" s="22"/>
    </row>
    <row r="15" spans="1:12" x14ac:dyDescent="0.3">
      <c r="A15" s="7" t="s">
        <v>17</v>
      </c>
      <c r="B15" s="8" t="s">
        <v>1</v>
      </c>
      <c r="C15" s="3" t="s">
        <v>18</v>
      </c>
      <c r="D15" s="23">
        <v>40878</v>
      </c>
      <c r="E15" s="3"/>
      <c r="F15" s="3"/>
      <c r="G15" s="3"/>
      <c r="H15" s="3"/>
      <c r="I15" s="3"/>
      <c r="J15" s="6"/>
      <c r="K15" s="22">
        <f t="shared" si="1"/>
        <v>0</v>
      </c>
    </row>
    <row r="16" spans="1:12" x14ac:dyDescent="0.3">
      <c r="A16" s="7" t="s">
        <v>19</v>
      </c>
      <c r="B16" s="8" t="s">
        <v>12</v>
      </c>
      <c r="C16" s="3" t="s">
        <v>20</v>
      </c>
      <c r="D16" s="4">
        <v>36770</v>
      </c>
      <c r="E16" s="3">
        <v>11.6</v>
      </c>
      <c r="F16" s="3">
        <v>11.5</v>
      </c>
      <c r="G16" s="3">
        <v>11.6</v>
      </c>
      <c r="H16" s="3">
        <v>11.6</v>
      </c>
      <c r="I16" s="3">
        <v>19.064</v>
      </c>
      <c r="J16" s="6">
        <f t="shared" ref="J16:J18" si="2">I16/K16</f>
        <v>0.18760825066918596</v>
      </c>
      <c r="K16" s="22">
        <f t="shared" si="1"/>
        <v>101.616</v>
      </c>
    </row>
    <row r="17" spans="1:11" x14ac:dyDescent="0.3">
      <c r="A17" s="7" t="s">
        <v>14</v>
      </c>
      <c r="B17" s="8" t="s">
        <v>12</v>
      </c>
      <c r="C17" s="3" t="s">
        <v>13</v>
      </c>
      <c r="D17" s="4">
        <v>38718</v>
      </c>
      <c r="E17" s="20">
        <v>231</v>
      </c>
      <c r="F17" s="3">
        <v>231</v>
      </c>
      <c r="G17" s="3">
        <v>231</v>
      </c>
      <c r="H17" s="3">
        <v>231</v>
      </c>
      <c r="I17" s="3">
        <v>537.91600000000005</v>
      </c>
      <c r="J17" s="6">
        <f t="shared" si="2"/>
        <v>0.26582656308683711</v>
      </c>
      <c r="K17" s="22">
        <f t="shared" si="1"/>
        <v>2023.56</v>
      </c>
    </row>
    <row r="18" spans="1:11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90.8</v>
      </c>
      <c r="F18" s="3">
        <v>90.7</v>
      </c>
      <c r="G18" s="3">
        <v>90.8</v>
      </c>
      <c r="H18" s="3">
        <v>90.8</v>
      </c>
      <c r="I18" s="3">
        <v>213.28100000000001</v>
      </c>
      <c r="J18" s="6">
        <f t="shared" si="2"/>
        <v>0.2681403757568443</v>
      </c>
      <c r="K18" s="22">
        <f t="shared" si="1"/>
        <v>795.40800000000002</v>
      </c>
    </row>
    <row r="19" spans="1:11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/>
      <c r="F19" s="3"/>
      <c r="G19" s="3"/>
      <c r="H19" s="3"/>
      <c r="I19" s="3"/>
      <c r="J19" s="6"/>
      <c r="K19" s="22"/>
    </row>
    <row r="20" spans="1:11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3"/>
      <c r="J20" s="6"/>
      <c r="K20" s="22"/>
    </row>
    <row r="21" spans="1:11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>
        <v>34.5</v>
      </c>
      <c r="F21" s="3">
        <v>34.5</v>
      </c>
      <c r="G21" s="3">
        <v>34.5</v>
      </c>
      <c r="H21" s="3">
        <v>34.5</v>
      </c>
      <c r="I21" s="3">
        <v>89.072000000000003</v>
      </c>
      <c r="J21" s="6">
        <f t="shared" ref="J21:J25" si="3">I21/K21</f>
        <v>0.29472569651247432</v>
      </c>
      <c r="K21" s="22">
        <f t="shared" si="1"/>
        <v>302.22000000000003</v>
      </c>
    </row>
    <row r="22" spans="1:11" x14ac:dyDescent="0.3">
      <c r="A22" s="7" t="s">
        <v>7</v>
      </c>
      <c r="B22" s="8" t="s">
        <v>8</v>
      </c>
      <c r="C22" s="3" t="s">
        <v>9</v>
      </c>
      <c r="D22" s="4">
        <v>39105</v>
      </c>
      <c r="E22" s="3">
        <v>20</v>
      </c>
      <c r="F22" s="3">
        <v>20</v>
      </c>
      <c r="G22" s="3">
        <v>20</v>
      </c>
      <c r="H22" s="3">
        <v>20</v>
      </c>
      <c r="I22" s="3">
        <v>37.393999999999998</v>
      </c>
      <c r="J22" s="6">
        <f t="shared" si="3"/>
        <v>0.21343607305936074</v>
      </c>
      <c r="K22" s="22">
        <f t="shared" si="1"/>
        <v>175.2</v>
      </c>
    </row>
    <row r="23" spans="1:11" x14ac:dyDescent="0.3">
      <c r="A23" s="7" t="s">
        <v>37</v>
      </c>
      <c r="B23" s="8" t="s">
        <v>38</v>
      </c>
      <c r="C23" s="3" t="s">
        <v>34</v>
      </c>
      <c r="D23" s="4">
        <v>36800</v>
      </c>
      <c r="E23" s="3">
        <v>6.6</v>
      </c>
      <c r="F23" s="3">
        <v>6.6</v>
      </c>
      <c r="G23" s="3">
        <v>0</v>
      </c>
      <c r="H23" s="3">
        <v>0</v>
      </c>
      <c r="I23" s="3">
        <v>11.37</v>
      </c>
      <c r="J23" s="6">
        <f t="shared" si="3"/>
        <v>0.19665836446658364</v>
      </c>
      <c r="K23" s="22">
        <f t="shared" si="1"/>
        <v>57.816000000000003</v>
      </c>
    </row>
    <row r="24" spans="1:11" x14ac:dyDescent="0.3">
      <c r="A24" s="7" t="s">
        <v>33</v>
      </c>
      <c r="B24" s="8" t="s">
        <v>1</v>
      </c>
      <c r="C24" s="3" t="s">
        <v>34</v>
      </c>
      <c r="D24" s="4">
        <v>39793</v>
      </c>
      <c r="E24" s="3"/>
      <c r="F24" s="3"/>
      <c r="G24" s="3"/>
      <c r="H24" s="3"/>
      <c r="I24" s="3"/>
      <c r="J24" s="6"/>
      <c r="K24" s="22"/>
    </row>
    <row r="25" spans="1:11" x14ac:dyDescent="0.3">
      <c r="A25" s="13" t="s">
        <v>66</v>
      </c>
      <c r="B25" s="3"/>
      <c r="C25" s="3"/>
      <c r="D25" s="3"/>
      <c r="E25" s="3">
        <f>SUM(E5:E24)</f>
        <v>1148</v>
      </c>
      <c r="F25" s="3">
        <f>SUM(F5:F24)</f>
        <v>1035.3</v>
      </c>
      <c r="G25" s="3">
        <f>SUM(G4:G21)</f>
        <v>978.9</v>
      </c>
      <c r="H25" s="3">
        <f>SUM(H4:H21)</f>
        <v>978.9</v>
      </c>
      <c r="I25" s="3">
        <f>SUM(I5:I24)</f>
        <v>1282.325</v>
      </c>
      <c r="J25" s="6">
        <f t="shared" si="3"/>
        <v>0.2093143476858508</v>
      </c>
      <c r="K25" s="3">
        <f>SUM(K5:K24)</f>
        <v>6126.3119999999999</v>
      </c>
    </row>
    <row r="26" spans="1:11" x14ac:dyDescent="0.3">
      <c r="A26" s="68"/>
      <c r="B26" s="5"/>
      <c r="C26" s="5"/>
      <c r="D26" s="5"/>
      <c r="E26" s="5"/>
      <c r="F26" s="5"/>
      <c r="G26" s="5"/>
      <c r="H26" s="5"/>
      <c r="I26" s="5"/>
    </row>
    <row r="27" spans="1:11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9" spans="1:11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639.26400000000001</v>
      </c>
    </row>
  </sheetData>
  <sortState xmlns:xlrd2="http://schemas.microsoft.com/office/spreadsheetml/2017/richdata2" ref="A5:J22">
    <sortCondition ref="A5:A22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29"/>
  <sheetViews>
    <sheetView workbookViewId="0">
      <selection activeCell="L27" sqref="L27"/>
    </sheetView>
  </sheetViews>
  <sheetFormatPr defaultRowHeight="14.4" x14ac:dyDescent="0.3"/>
  <cols>
    <col min="1" max="1" width="25.664062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  <col min="11" max="11" width="8.88671875" customWidth="1"/>
    <col min="13" max="13" width="9.109375" hidden="1" customWidth="1"/>
  </cols>
  <sheetData>
    <row r="1" spans="1:13" x14ac:dyDescent="0.3">
      <c r="A1" t="s">
        <v>83</v>
      </c>
    </row>
    <row r="3" spans="1:13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75</v>
      </c>
      <c r="H3" s="9"/>
      <c r="I3" s="9" t="s">
        <v>72</v>
      </c>
      <c r="J3" s="10" t="s">
        <v>64</v>
      </c>
      <c r="K3" s="32" t="s">
        <v>93</v>
      </c>
    </row>
    <row r="4" spans="1:13" x14ac:dyDescent="0.3">
      <c r="A4" s="11" t="s">
        <v>39</v>
      </c>
      <c r="B4" s="11" t="s">
        <v>40</v>
      </c>
      <c r="C4" s="11" t="s">
        <v>42</v>
      </c>
      <c r="D4" s="11" t="s">
        <v>46</v>
      </c>
      <c r="E4" s="11" t="s">
        <v>48</v>
      </c>
      <c r="F4" s="11" t="s">
        <v>50</v>
      </c>
      <c r="G4" s="11" t="s">
        <v>52</v>
      </c>
      <c r="H4" s="11" t="s">
        <v>53</v>
      </c>
      <c r="I4" s="11" t="s">
        <v>58</v>
      </c>
      <c r="J4" s="12" t="s">
        <v>65</v>
      </c>
      <c r="K4" s="33" t="s">
        <v>94</v>
      </c>
    </row>
    <row r="5" spans="1:13" x14ac:dyDescent="0.3">
      <c r="A5" s="7" t="s">
        <v>24</v>
      </c>
      <c r="B5" s="8" t="s">
        <v>22</v>
      </c>
      <c r="C5" s="3" t="s">
        <v>25</v>
      </c>
      <c r="D5" s="4">
        <v>39714</v>
      </c>
      <c r="E5" s="3"/>
      <c r="F5" s="3"/>
      <c r="G5" s="3"/>
      <c r="H5" s="3"/>
      <c r="I5" s="3"/>
      <c r="J5" s="6"/>
      <c r="K5" s="22"/>
    </row>
    <row r="6" spans="1:13" x14ac:dyDescent="0.3">
      <c r="A6" s="7" t="s">
        <v>26</v>
      </c>
      <c r="B6" s="8" t="s">
        <v>8</v>
      </c>
      <c r="C6" s="3" t="s">
        <v>27</v>
      </c>
      <c r="D6" s="4">
        <v>39527</v>
      </c>
      <c r="E6" s="3"/>
      <c r="F6" s="3"/>
      <c r="G6" s="3"/>
      <c r="H6" s="3"/>
      <c r="I6" s="3"/>
      <c r="J6" s="6"/>
      <c r="K6" s="22"/>
    </row>
    <row r="7" spans="1:13" x14ac:dyDescent="0.3">
      <c r="A7" s="7" t="s">
        <v>0</v>
      </c>
      <c r="B7" s="8" t="s">
        <v>1</v>
      </c>
      <c r="C7" s="3" t="s">
        <v>2</v>
      </c>
      <c r="D7" s="4">
        <v>39787</v>
      </c>
      <c r="E7" s="3"/>
      <c r="F7" s="3"/>
      <c r="G7" s="3"/>
      <c r="H7" s="3"/>
      <c r="I7" s="3"/>
      <c r="J7" s="6"/>
      <c r="K7" s="22"/>
    </row>
    <row r="8" spans="1:13" x14ac:dyDescent="0.3">
      <c r="A8" s="7" t="s">
        <v>28</v>
      </c>
      <c r="B8" s="8" t="s">
        <v>22</v>
      </c>
      <c r="C8" s="3" t="s">
        <v>29</v>
      </c>
      <c r="D8" s="4">
        <v>39728</v>
      </c>
      <c r="E8" s="3"/>
      <c r="F8" s="3"/>
      <c r="G8" s="3"/>
      <c r="H8" s="3"/>
      <c r="I8" s="3"/>
      <c r="J8" s="6"/>
      <c r="K8" s="22"/>
    </row>
    <row r="9" spans="1:13" x14ac:dyDescent="0.3">
      <c r="A9" s="7" t="s">
        <v>30</v>
      </c>
      <c r="B9" s="8" t="s">
        <v>22</v>
      </c>
      <c r="C9" s="3" t="s">
        <v>31</v>
      </c>
      <c r="D9" s="4">
        <v>39547</v>
      </c>
      <c r="E9" s="3"/>
      <c r="F9" s="3"/>
      <c r="G9" s="3"/>
      <c r="H9" s="3"/>
      <c r="I9" s="3"/>
      <c r="J9" s="6"/>
      <c r="K9" s="22"/>
      <c r="L9" s="26"/>
    </row>
    <row r="10" spans="1:13" x14ac:dyDescent="0.3">
      <c r="A10" s="7" t="s">
        <v>32</v>
      </c>
      <c r="B10" s="8" t="s">
        <v>22</v>
      </c>
      <c r="C10" s="3" t="s">
        <v>23</v>
      </c>
      <c r="D10" s="4">
        <v>39538</v>
      </c>
      <c r="E10" s="3"/>
      <c r="F10" s="3"/>
      <c r="G10" s="3"/>
      <c r="H10" s="3"/>
      <c r="I10" s="3"/>
      <c r="J10" s="6"/>
      <c r="K10" s="22"/>
    </row>
    <row r="11" spans="1:13" x14ac:dyDescent="0.3">
      <c r="A11" s="7" t="s">
        <v>10</v>
      </c>
      <c r="B11" s="8" t="s">
        <v>8</v>
      </c>
      <c r="C11" s="3" t="s">
        <v>9</v>
      </c>
      <c r="D11" s="23">
        <v>40940</v>
      </c>
      <c r="E11" s="3"/>
      <c r="F11" s="3"/>
      <c r="G11" s="3"/>
      <c r="H11" s="3"/>
      <c r="I11" s="3"/>
      <c r="J11" s="6"/>
      <c r="K11" s="22"/>
    </row>
    <row r="12" spans="1:13" x14ac:dyDescent="0.3">
      <c r="A12" s="7" t="s">
        <v>5</v>
      </c>
      <c r="B12" s="8" t="s">
        <v>1</v>
      </c>
      <c r="C12" s="3" t="s">
        <v>6</v>
      </c>
      <c r="D12" s="23">
        <v>37226</v>
      </c>
      <c r="E12" s="3">
        <v>30</v>
      </c>
      <c r="F12" s="3">
        <v>30</v>
      </c>
      <c r="G12" s="3">
        <v>0</v>
      </c>
      <c r="H12" s="3">
        <v>0</v>
      </c>
      <c r="I12" s="3">
        <v>23.855</v>
      </c>
      <c r="J12" s="6">
        <f>(I12*1000)/(M12*E12)</f>
        <v>0.36012983091787437</v>
      </c>
      <c r="K12" s="22">
        <f>E12*92*24/1000</f>
        <v>66.239999999999995</v>
      </c>
      <c r="L12" t="s">
        <v>87</v>
      </c>
      <c r="M12">
        <f>92*24</f>
        <v>2208</v>
      </c>
    </row>
    <row r="13" spans="1:13" x14ac:dyDescent="0.3">
      <c r="A13" s="7" t="s">
        <v>15</v>
      </c>
      <c r="B13" s="8" t="s">
        <v>12</v>
      </c>
      <c r="C13" s="3" t="s">
        <v>16</v>
      </c>
      <c r="D13" s="23">
        <v>40575</v>
      </c>
      <c r="E13" s="3"/>
      <c r="F13" s="3"/>
      <c r="G13" s="3"/>
      <c r="H13" s="3"/>
      <c r="I13" s="3"/>
      <c r="J13" s="6"/>
      <c r="K13" s="22"/>
    </row>
    <row r="14" spans="1:13" x14ac:dyDescent="0.3">
      <c r="A14" s="7" t="s">
        <v>73</v>
      </c>
      <c r="B14" s="8" t="s">
        <v>1</v>
      </c>
      <c r="C14" s="20" t="s">
        <v>74</v>
      </c>
      <c r="D14" s="23">
        <v>39845</v>
      </c>
      <c r="E14" s="20"/>
      <c r="F14" s="20"/>
      <c r="G14" s="20"/>
      <c r="H14" s="20"/>
      <c r="I14" s="20"/>
      <c r="J14" s="6"/>
      <c r="K14" s="22"/>
    </row>
    <row r="15" spans="1:13" x14ac:dyDescent="0.3">
      <c r="A15" s="7" t="s">
        <v>17</v>
      </c>
      <c r="B15" s="8" t="s">
        <v>1</v>
      </c>
      <c r="C15" s="3" t="s">
        <v>18</v>
      </c>
      <c r="D15" s="23">
        <v>40878</v>
      </c>
      <c r="E15" s="3"/>
      <c r="F15" s="3"/>
      <c r="G15" s="3"/>
      <c r="H15" s="3"/>
      <c r="I15" s="3"/>
      <c r="J15" s="6"/>
      <c r="K15" s="22"/>
    </row>
    <row r="16" spans="1:13" x14ac:dyDescent="0.3">
      <c r="A16" s="7" t="s">
        <v>19</v>
      </c>
      <c r="B16" s="8" t="s">
        <v>12</v>
      </c>
      <c r="C16" s="3" t="s">
        <v>20</v>
      </c>
      <c r="D16" s="23">
        <v>36770</v>
      </c>
      <c r="E16" s="3">
        <v>11.6</v>
      </c>
      <c r="F16" s="3">
        <v>11.5</v>
      </c>
      <c r="G16" s="3">
        <v>11.6</v>
      </c>
      <c r="H16" s="3">
        <v>11.6</v>
      </c>
      <c r="I16" s="3">
        <v>21.254000000000001</v>
      </c>
      <c r="J16" s="6">
        <f>(I16*1000)/(8760*E16)</f>
        <v>0.20915997480711698</v>
      </c>
      <c r="K16" s="22">
        <f t="shared" ref="K16" si="0">E16*8760/1000</f>
        <v>101.616</v>
      </c>
    </row>
    <row r="17" spans="1:12" x14ac:dyDescent="0.3">
      <c r="A17" s="7" t="s">
        <v>14</v>
      </c>
      <c r="B17" s="8" t="s">
        <v>12</v>
      </c>
      <c r="C17" s="3" t="s">
        <v>13</v>
      </c>
      <c r="D17" s="4">
        <v>38718</v>
      </c>
      <c r="E17" s="20">
        <v>231</v>
      </c>
      <c r="F17" s="3">
        <v>231</v>
      </c>
      <c r="G17" s="3">
        <v>231</v>
      </c>
      <c r="H17" s="3">
        <v>231</v>
      </c>
      <c r="I17" s="3">
        <v>729.23500000000001</v>
      </c>
      <c r="J17" s="6">
        <f>((I18+I17)*1000)/(8760*(E18+E17))</f>
        <v>0.25868864066566205</v>
      </c>
      <c r="K17" s="22">
        <f>(E17+E18)*8760/1000</f>
        <v>2818.9679999999998</v>
      </c>
      <c r="L17" s="25" t="s">
        <v>88</v>
      </c>
    </row>
    <row r="18" spans="1:12" x14ac:dyDescent="0.3">
      <c r="A18" s="7" t="s">
        <v>11</v>
      </c>
      <c r="B18" s="8" t="s">
        <v>12</v>
      </c>
      <c r="C18" s="3" t="s">
        <v>13</v>
      </c>
      <c r="D18" s="4">
        <v>39417</v>
      </c>
      <c r="E18" s="3">
        <v>90.8</v>
      </c>
      <c r="F18" s="3">
        <v>90.7</v>
      </c>
      <c r="G18" s="3">
        <v>90.8</v>
      </c>
      <c r="H18" s="3">
        <v>90.8</v>
      </c>
      <c r="I18" s="3"/>
      <c r="J18" s="6"/>
      <c r="K18" s="22"/>
    </row>
    <row r="19" spans="1:12" x14ac:dyDescent="0.3">
      <c r="A19" s="7" t="s">
        <v>21</v>
      </c>
      <c r="B19" s="8" t="s">
        <v>22</v>
      </c>
      <c r="C19" s="3" t="s">
        <v>23</v>
      </c>
      <c r="D19" s="4">
        <v>41091</v>
      </c>
      <c r="E19" s="3"/>
      <c r="F19" s="3"/>
      <c r="G19" s="3"/>
      <c r="H19" s="3"/>
      <c r="I19" s="3"/>
      <c r="J19" s="6"/>
      <c r="K19" s="22"/>
    </row>
    <row r="20" spans="1:12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3"/>
      <c r="F20" s="3"/>
      <c r="G20" s="3"/>
      <c r="H20" s="3"/>
      <c r="I20" s="3"/>
      <c r="J20" s="6"/>
      <c r="K20" s="22"/>
    </row>
    <row r="21" spans="1:12" x14ac:dyDescent="0.3">
      <c r="A21" s="7" t="s">
        <v>35</v>
      </c>
      <c r="B21" s="8" t="s">
        <v>12</v>
      </c>
      <c r="C21" s="3" t="s">
        <v>36</v>
      </c>
      <c r="D21" s="4">
        <v>39314</v>
      </c>
      <c r="E21" s="3"/>
      <c r="F21" s="3"/>
      <c r="G21" s="3"/>
      <c r="H21" s="3"/>
      <c r="I21" s="3"/>
      <c r="J21" s="6"/>
      <c r="K21" s="22"/>
    </row>
    <row r="22" spans="1:12" x14ac:dyDescent="0.3">
      <c r="A22" s="7" t="s">
        <v>7</v>
      </c>
      <c r="B22" s="8" t="s">
        <v>8</v>
      </c>
      <c r="C22" s="3" t="s">
        <v>9</v>
      </c>
      <c r="D22" s="4">
        <v>39105</v>
      </c>
      <c r="E22" s="3">
        <v>20</v>
      </c>
      <c r="F22" s="3">
        <v>20</v>
      </c>
      <c r="G22" s="3">
        <v>20</v>
      </c>
      <c r="H22" s="3">
        <v>20</v>
      </c>
      <c r="I22" s="3">
        <v>10.3</v>
      </c>
      <c r="J22" s="6">
        <f>(I22*1000)/(8760*E22)</f>
        <v>5.878995433789954E-2</v>
      </c>
      <c r="K22" s="22"/>
    </row>
    <row r="23" spans="1:12" x14ac:dyDescent="0.3">
      <c r="A23" s="7" t="s">
        <v>37</v>
      </c>
      <c r="B23" s="8" t="s">
        <v>38</v>
      </c>
      <c r="C23" s="3" t="s">
        <v>34</v>
      </c>
      <c r="D23" s="4">
        <v>36800</v>
      </c>
      <c r="E23" s="3">
        <v>6.6</v>
      </c>
      <c r="F23" s="3">
        <v>6.6</v>
      </c>
      <c r="G23" s="3">
        <v>0</v>
      </c>
      <c r="H23" s="3">
        <v>0</v>
      </c>
      <c r="I23" s="3">
        <v>15.537000000000001</v>
      </c>
      <c r="J23" s="6">
        <f>(I23*1000)/(8760*E23)</f>
        <v>0.26873183893731839</v>
      </c>
      <c r="K23" s="22">
        <f>E23*8760/1000</f>
        <v>57.816000000000003</v>
      </c>
    </row>
    <row r="24" spans="1:12" x14ac:dyDescent="0.3">
      <c r="A24" s="7" t="s">
        <v>33</v>
      </c>
      <c r="B24" s="8" t="s">
        <v>1</v>
      </c>
      <c r="C24" s="3" t="s">
        <v>34</v>
      </c>
      <c r="D24" s="4">
        <v>39793</v>
      </c>
      <c r="E24" s="3"/>
      <c r="F24" s="3"/>
      <c r="G24" s="3"/>
      <c r="H24" s="3"/>
      <c r="I24" s="3"/>
      <c r="J24" s="6"/>
      <c r="K24" s="22"/>
    </row>
    <row r="25" spans="1:12" x14ac:dyDescent="0.3">
      <c r="A25" s="13" t="s">
        <v>66</v>
      </c>
      <c r="B25" s="3"/>
      <c r="C25" s="3"/>
      <c r="D25" s="3"/>
      <c r="E25" s="3">
        <f>SUM(E5:E24)</f>
        <v>390.00000000000006</v>
      </c>
      <c r="F25" s="3">
        <f t="shared" ref="F25:I25" si="1">SUM(F5:F24)</f>
        <v>389.8</v>
      </c>
      <c r="G25" s="3">
        <f t="shared" si="1"/>
        <v>353.4</v>
      </c>
      <c r="H25" s="3">
        <f t="shared" si="1"/>
        <v>353.4</v>
      </c>
      <c r="I25" s="3">
        <f t="shared" si="1"/>
        <v>800.18100000000004</v>
      </c>
      <c r="J25" s="6">
        <f>I25/K25</f>
        <v>0.26281629355194708</v>
      </c>
      <c r="K25" s="21">
        <f t="shared" ref="K25" si="2">SUM(K4:K24)</f>
        <v>3044.6399999999994</v>
      </c>
    </row>
    <row r="26" spans="1:12" x14ac:dyDescent="0.3">
      <c r="A26" s="68"/>
      <c r="B26" s="5"/>
      <c r="C26" s="5"/>
      <c r="D26" s="5"/>
      <c r="E26" s="5"/>
      <c r="F26" s="5"/>
      <c r="G26" s="5"/>
      <c r="H26" s="5"/>
      <c r="I26" s="5"/>
      <c r="J26" s="18"/>
      <c r="K26" s="18"/>
    </row>
    <row r="27" spans="1:12" x14ac:dyDescent="0.3">
      <c r="A27" s="68"/>
      <c r="B27" s="5"/>
      <c r="C27" s="5"/>
      <c r="D27" s="5"/>
      <c r="E27" s="5"/>
      <c r="F27" s="5"/>
      <c r="G27" s="5"/>
      <c r="H27" s="5"/>
      <c r="I27" s="5"/>
      <c r="K27" s="31"/>
    </row>
    <row r="29" spans="1:12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242.6</v>
      </c>
      <c r="H29">
        <f>H12+H16+H17+H23</f>
        <v>242.6</v>
      </c>
      <c r="I29">
        <f>I12+I16+I17+I23</f>
        <v>789.88100000000009</v>
      </c>
    </row>
  </sheetData>
  <sortState xmlns:xlrd2="http://schemas.microsoft.com/office/spreadsheetml/2017/richdata2" ref="A5:K22">
    <sortCondition ref="A5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9"/>
  <sheetViews>
    <sheetView workbookViewId="0">
      <selection activeCell="K12" sqref="K12"/>
    </sheetView>
  </sheetViews>
  <sheetFormatPr defaultRowHeight="14.4" x14ac:dyDescent="0.3"/>
  <cols>
    <col min="1" max="1" width="24.88671875" bestFit="1" customWidth="1"/>
    <col min="2" max="2" width="5.44140625" bestFit="1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hidden="1" customWidth="1"/>
    <col min="8" max="8" width="7.33203125" hidden="1" customWidth="1"/>
    <col min="9" max="9" width="14.109375" bestFit="1" customWidth="1"/>
    <col min="10" max="10" width="8.88671875" bestFit="1" customWidth="1"/>
    <col min="11" max="11" width="9.109375" style="31" customWidth="1"/>
  </cols>
  <sheetData>
    <row r="1" spans="1:12" x14ac:dyDescent="0.3">
      <c r="A1" t="s">
        <v>82</v>
      </c>
    </row>
    <row r="3" spans="1:12" x14ac:dyDescent="0.3">
      <c r="A3" s="9"/>
      <c r="B3" s="9"/>
      <c r="C3" s="9"/>
      <c r="D3" s="9" t="s">
        <v>45</v>
      </c>
      <c r="E3" s="9" t="s">
        <v>47</v>
      </c>
      <c r="F3" s="9" t="s">
        <v>49</v>
      </c>
      <c r="G3" s="9" t="s">
        <v>68</v>
      </c>
      <c r="H3" s="9"/>
      <c r="I3" s="9" t="s">
        <v>69</v>
      </c>
      <c r="J3" s="10" t="s">
        <v>64</v>
      </c>
      <c r="K3" s="32" t="s">
        <v>93</v>
      </c>
    </row>
    <row r="4" spans="1:12" x14ac:dyDescent="0.3">
      <c r="A4" s="12" t="s">
        <v>39</v>
      </c>
      <c r="B4" s="12" t="s">
        <v>40</v>
      </c>
      <c r="C4" s="12" t="s">
        <v>42</v>
      </c>
      <c r="D4" s="12" t="s">
        <v>46</v>
      </c>
      <c r="E4" s="12" t="s">
        <v>48</v>
      </c>
      <c r="F4" s="12" t="s">
        <v>50</v>
      </c>
      <c r="G4" s="12" t="s">
        <v>52</v>
      </c>
      <c r="H4" s="12" t="s">
        <v>53</v>
      </c>
      <c r="I4" s="12" t="s">
        <v>58</v>
      </c>
      <c r="J4" s="12" t="s">
        <v>65</v>
      </c>
      <c r="K4" s="33" t="s">
        <v>94</v>
      </c>
      <c r="L4" s="25"/>
    </row>
    <row r="5" spans="1:12" x14ac:dyDescent="0.3">
      <c r="A5" s="13" t="s">
        <v>24</v>
      </c>
      <c r="B5" s="27" t="s">
        <v>22</v>
      </c>
      <c r="C5" s="20" t="s">
        <v>25</v>
      </c>
      <c r="D5" s="23">
        <v>39714</v>
      </c>
      <c r="E5" s="20"/>
      <c r="F5" s="20"/>
      <c r="G5" s="20"/>
      <c r="H5" s="20"/>
      <c r="I5" s="20"/>
      <c r="J5" s="28"/>
      <c r="K5" s="22"/>
      <c r="L5" s="25"/>
    </row>
    <row r="6" spans="1:12" x14ac:dyDescent="0.3">
      <c r="A6" s="13" t="s">
        <v>26</v>
      </c>
      <c r="B6" s="27" t="s">
        <v>8</v>
      </c>
      <c r="C6" s="20" t="s">
        <v>27</v>
      </c>
      <c r="D6" s="23">
        <v>39527</v>
      </c>
      <c r="E6" s="20"/>
      <c r="F6" s="20"/>
      <c r="G6" s="20"/>
      <c r="H6" s="20"/>
      <c r="I6" s="20"/>
      <c r="J6" s="28"/>
      <c r="K6" s="22"/>
      <c r="L6" s="25"/>
    </row>
    <row r="7" spans="1:12" x14ac:dyDescent="0.3">
      <c r="A7" s="13" t="s">
        <v>0</v>
      </c>
      <c r="B7" s="27" t="s">
        <v>1</v>
      </c>
      <c r="C7" s="20" t="s">
        <v>2</v>
      </c>
      <c r="D7" s="23">
        <v>39787</v>
      </c>
      <c r="E7" s="20"/>
      <c r="F7" s="20"/>
      <c r="G7" s="20"/>
      <c r="H7" s="20"/>
      <c r="I7" s="20"/>
      <c r="J7" s="28"/>
      <c r="K7" s="22"/>
      <c r="L7" s="25"/>
    </row>
    <row r="8" spans="1:12" x14ac:dyDescent="0.3">
      <c r="A8" s="13" t="s">
        <v>28</v>
      </c>
      <c r="B8" s="27" t="s">
        <v>22</v>
      </c>
      <c r="C8" s="20" t="s">
        <v>29</v>
      </c>
      <c r="D8" s="23">
        <v>39728</v>
      </c>
      <c r="E8" s="20"/>
      <c r="F8" s="20"/>
      <c r="G8" s="20"/>
      <c r="H8" s="20"/>
      <c r="I8" s="20"/>
      <c r="J8" s="28"/>
      <c r="K8" s="22"/>
      <c r="L8" s="25"/>
    </row>
    <row r="9" spans="1:12" x14ac:dyDescent="0.3">
      <c r="A9" s="13" t="s">
        <v>30</v>
      </c>
      <c r="B9" s="27" t="s">
        <v>22</v>
      </c>
      <c r="C9" s="20" t="s">
        <v>31</v>
      </c>
      <c r="D9" s="23">
        <v>39547</v>
      </c>
      <c r="E9" s="20"/>
      <c r="F9" s="20"/>
      <c r="G9" s="20"/>
      <c r="H9" s="20"/>
      <c r="I9" s="20"/>
      <c r="J9" s="28"/>
      <c r="K9" s="22"/>
      <c r="L9" s="25"/>
    </row>
    <row r="10" spans="1:12" x14ac:dyDescent="0.3">
      <c r="A10" s="13" t="s">
        <v>32</v>
      </c>
      <c r="B10" s="27" t="s">
        <v>22</v>
      </c>
      <c r="C10" s="20" t="s">
        <v>23</v>
      </c>
      <c r="D10" s="23">
        <v>39538</v>
      </c>
      <c r="E10" s="20"/>
      <c r="F10" s="20"/>
      <c r="G10" s="20"/>
      <c r="H10" s="20"/>
      <c r="I10" s="20"/>
      <c r="J10" s="28"/>
      <c r="K10" s="22"/>
      <c r="L10" s="25"/>
    </row>
    <row r="11" spans="1:12" x14ac:dyDescent="0.3">
      <c r="A11" s="13" t="s">
        <v>10</v>
      </c>
      <c r="B11" s="27" t="s">
        <v>8</v>
      </c>
      <c r="C11" s="20" t="s">
        <v>9</v>
      </c>
      <c r="D11" s="23">
        <v>40940</v>
      </c>
      <c r="E11" s="20"/>
      <c r="F11" s="20"/>
      <c r="G11" s="20"/>
      <c r="H11" s="20"/>
      <c r="I11" s="20"/>
      <c r="J11" s="28"/>
      <c r="K11" s="22"/>
      <c r="L11" s="25"/>
    </row>
    <row r="12" spans="1:12" x14ac:dyDescent="0.3">
      <c r="A12" s="13" t="s">
        <v>5</v>
      </c>
      <c r="B12" s="27" t="s">
        <v>1</v>
      </c>
      <c r="C12" s="20" t="s">
        <v>6</v>
      </c>
      <c r="D12" s="23">
        <v>37226</v>
      </c>
      <c r="E12" s="20">
        <v>30</v>
      </c>
      <c r="F12" s="20">
        <v>30</v>
      </c>
      <c r="G12" s="20">
        <v>3</v>
      </c>
      <c r="H12" s="20">
        <v>9</v>
      </c>
      <c r="I12" s="20">
        <v>77.272999999999996</v>
      </c>
      <c r="J12" s="28">
        <f>(I12*1000)/(8760*E12)</f>
        <v>0.29403729071537293</v>
      </c>
      <c r="K12" s="22">
        <f>E12*8760/1000</f>
        <v>262.8</v>
      </c>
      <c r="L12" s="25" t="s">
        <v>71</v>
      </c>
    </row>
    <row r="13" spans="1:12" x14ac:dyDescent="0.3">
      <c r="A13" s="13" t="s">
        <v>15</v>
      </c>
      <c r="B13" s="27" t="s">
        <v>12</v>
      </c>
      <c r="C13" s="20" t="s">
        <v>16</v>
      </c>
      <c r="D13" s="23">
        <v>40575</v>
      </c>
      <c r="E13" s="20"/>
      <c r="F13" s="20"/>
      <c r="G13" s="20"/>
      <c r="H13" s="20"/>
      <c r="I13" s="20"/>
      <c r="J13" s="28"/>
      <c r="K13" s="22"/>
      <c r="L13" s="25"/>
    </row>
    <row r="14" spans="1:12" x14ac:dyDescent="0.3">
      <c r="A14" s="13" t="s">
        <v>73</v>
      </c>
      <c r="B14" s="27" t="s">
        <v>1</v>
      </c>
      <c r="C14" s="20" t="s">
        <v>74</v>
      </c>
      <c r="D14" s="23">
        <v>39845</v>
      </c>
      <c r="E14" s="20"/>
      <c r="F14" s="20"/>
      <c r="G14" s="20"/>
      <c r="H14" s="20"/>
      <c r="I14" s="20"/>
      <c r="J14" s="28"/>
      <c r="K14" s="22"/>
      <c r="L14" s="25"/>
    </row>
    <row r="15" spans="1:12" x14ac:dyDescent="0.3">
      <c r="A15" s="13" t="s">
        <v>17</v>
      </c>
      <c r="B15" s="27" t="s">
        <v>1</v>
      </c>
      <c r="C15" s="20" t="s">
        <v>18</v>
      </c>
      <c r="D15" s="23">
        <v>40878</v>
      </c>
      <c r="E15" s="20"/>
      <c r="F15" s="20"/>
      <c r="G15" s="20"/>
      <c r="H15" s="20"/>
      <c r="I15" s="20"/>
      <c r="J15" s="28"/>
      <c r="K15" s="22"/>
      <c r="L15" s="25"/>
    </row>
    <row r="16" spans="1:12" x14ac:dyDescent="0.3">
      <c r="A16" s="13" t="s">
        <v>19</v>
      </c>
      <c r="B16" s="27" t="s">
        <v>12</v>
      </c>
      <c r="C16" s="20" t="s">
        <v>20</v>
      </c>
      <c r="D16" s="23">
        <v>36770</v>
      </c>
      <c r="E16" s="20">
        <v>11.6</v>
      </c>
      <c r="F16" s="20">
        <v>11.5</v>
      </c>
      <c r="G16" s="20">
        <v>11.6</v>
      </c>
      <c r="H16" s="20">
        <v>11.6</v>
      </c>
      <c r="I16" s="20">
        <v>20.207000000000001</v>
      </c>
      <c r="J16" s="28">
        <f>(I16*1000)/(8760*E16)</f>
        <v>0.19885647929459926</v>
      </c>
      <c r="K16" s="22">
        <f t="shared" ref="K16:K17" si="0">E16*8760/1000</f>
        <v>101.616</v>
      </c>
      <c r="L16" s="25" t="s">
        <v>71</v>
      </c>
    </row>
    <row r="17" spans="1:12" x14ac:dyDescent="0.3">
      <c r="A17" s="13" t="s">
        <v>14</v>
      </c>
      <c r="B17" s="27" t="s">
        <v>12</v>
      </c>
      <c r="C17" s="20" t="s">
        <v>13</v>
      </c>
      <c r="D17" s="23">
        <v>38718</v>
      </c>
      <c r="E17" s="20">
        <v>231</v>
      </c>
      <c r="F17" s="20">
        <v>231</v>
      </c>
      <c r="G17" s="20">
        <v>231</v>
      </c>
      <c r="H17" s="20">
        <v>231</v>
      </c>
      <c r="I17" s="20">
        <v>406.50900000000001</v>
      </c>
      <c r="J17" s="28">
        <f>(I17*1000)/(8760*E17)</f>
        <v>0.20088803890173754</v>
      </c>
      <c r="K17" s="22">
        <f t="shared" si="0"/>
        <v>2023.56</v>
      </c>
      <c r="L17" s="25" t="s">
        <v>71</v>
      </c>
    </row>
    <row r="18" spans="1:12" x14ac:dyDescent="0.3">
      <c r="A18" s="13" t="s">
        <v>11</v>
      </c>
      <c r="B18" s="27" t="s">
        <v>12</v>
      </c>
      <c r="C18" s="3" t="s">
        <v>13</v>
      </c>
      <c r="D18" s="4">
        <v>39417</v>
      </c>
      <c r="E18" s="20"/>
      <c r="F18" s="20"/>
      <c r="G18" s="20"/>
      <c r="H18" s="20"/>
      <c r="I18" s="20"/>
      <c r="J18" s="28"/>
      <c r="K18" s="22"/>
      <c r="L18" s="25"/>
    </row>
    <row r="19" spans="1:12" x14ac:dyDescent="0.3">
      <c r="A19" s="7" t="s">
        <v>21</v>
      </c>
      <c r="B19" s="8" t="s">
        <v>22</v>
      </c>
      <c r="C19" s="3" t="s">
        <v>23</v>
      </c>
      <c r="D19" s="4">
        <v>41091</v>
      </c>
      <c r="E19" s="20"/>
      <c r="F19" s="20"/>
      <c r="G19" s="20"/>
      <c r="H19" s="20"/>
      <c r="I19" s="20"/>
      <c r="J19" s="28"/>
      <c r="K19" s="22"/>
      <c r="L19" s="25"/>
    </row>
    <row r="20" spans="1:12" x14ac:dyDescent="0.3">
      <c r="A20" s="13" t="s">
        <v>150</v>
      </c>
      <c r="B20" s="27" t="s">
        <v>1</v>
      </c>
      <c r="C20" s="20" t="s">
        <v>151</v>
      </c>
      <c r="D20" s="23">
        <v>41974</v>
      </c>
      <c r="E20" s="20"/>
      <c r="F20" s="20"/>
      <c r="G20" s="20"/>
      <c r="H20" s="20"/>
      <c r="I20" s="20"/>
      <c r="J20" s="28"/>
      <c r="K20" s="22"/>
      <c r="L20" s="25"/>
    </row>
    <row r="21" spans="1:12" x14ac:dyDescent="0.3">
      <c r="A21" s="13" t="s">
        <v>35</v>
      </c>
      <c r="B21" s="27" t="s">
        <v>12</v>
      </c>
      <c r="C21" s="20" t="s">
        <v>36</v>
      </c>
      <c r="D21" s="23">
        <v>39314</v>
      </c>
      <c r="E21" s="20"/>
      <c r="F21" s="20"/>
      <c r="G21" s="20"/>
      <c r="H21" s="20"/>
      <c r="I21" s="20"/>
      <c r="J21" s="28"/>
      <c r="K21" s="22"/>
      <c r="L21" s="25"/>
    </row>
    <row r="22" spans="1:12" x14ac:dyDescent="0.3">
      <c r="A22" s="13" t="s">
        <v>7</v>
      </c>
      <c r="B22" s="27" t="s">
        <v>8</v>
      </c>
      <c r="C22" s="20" t="s">
        <v>9</v>
      </c>
      <c r="D22" s="23">
        <v>39105</v>
      </c>
      <c r="E22" s="20"/>
      <c r="F22" s="20"/>
      <c r="G22" s="20"/>
      <c r="H22" s="20"/>
      <c r="I22" s="20"/>
      <c r="J22" s="28"/>
      <c r="K22" s="22"/>
      <c r="L22" s="25" t="s">
        <v>70</v>
      </c>
    </row>
    <row r="23" spans="1:12" x14ac:dyDescent="0.3">
      <c r="A23" s="13" t="s">
        <v>37</v>
      </c>
      <c r="B23" s="27" t="s">
        <v>38</v>
      </c>
      <c r="C23" s="20" t="s">
        <v>34</v>
      </c>
      <c r="D23" s="23">
        <v>36800</v>
      </c>
      <c r="E23" s="20">
        <v>6.6</v>
      </c>
      <c r="F23" s="20">
        <v>6.6</v>
      </c>
      <c r="G23" s="20">
        <v>0.6</v>
      </c>
      <c r="H23" s="20">
        <v>1.9</v>
      </c>
      <c r="I23" s="20">
        <v>14.438000000000001</v>
      </c>
      <c r="J23" s="28">
        <f>(I23*1000)/(8760*E23)</f>
        <v>0.24972325999723261</v>
      </c>
      <c r="K23" s="22">
        <f>E23*8760/1000</f>
        <v>57.816000000000003</v>
      </c>
      <c r="L23" s="25" t="s">
        <v>71</v>
      </c>
    </row>
    <row r="24" spans="1:12" x14ac:dyDescent="0.3">
      <c r="A24" s="13" t="s">
        <v>33</v>
      </c>
      <c r="B24" s="27" t="s">
        <v>1</v>
      </c>
      <c r="C24" s="20" t="s">
        <v>34</v>
      </c>
      <c r="D24" s="23">
        <v>39793</v>
      </c>
      <c r="E24" s="20"/>
      <c r="F24" s="20"/>
      <c r="G24" s="20"/>
      <c r="H24" s="20"/>
      <c r="I24" s="20"/>
      <c r="J24" s="28"/>
      <c r="K24" s="22"/>
      <c r="L24" s="25"/>
    </row>
    <row r="25" spans="1:12" x14ac:dyDescent="0.3">
      <c r="A25" s="13" t="s">
        <v>66</v>
      </c>
      <c r="B25" s="3"/>
      <c r="C25" s="3"/>
      <c r="D25" s="3"/>
      <c r="E25" s="3">
        <f>SUM(E4:E24)</f>
        <v>279.20000000000005</v>
      </c>
      <c r="F25" s="3">
        <f t="shared" ref="F25:K25" si="1">SUM(F4:F24)</f>
        <v>279.10000000000002</v>
      </c>
      <c r="G25" s="3">
        <f t="shared" si="1"/>
        <v>246.2</v>
      </c>
      <c r="H25" s="3">
        <f t="shared" si="1"/>
        <v>253.5</v>
      </c>
      <c r="I25" s="3">
        <f t="shared" si="1"/>
        <v>518.42700000000002</v>
      </c>
      <c r="J25" s="6">
        <f t="shared" ref="J25" si="2">(I25*1000)/(8760*E25)</f>
        <v>0.21196692114456173</v>
      </c>
      <c r="K25" s="21">
        <f t="shared" si="1"/>
        <v>2445.7919999999999</v>
      </c>
    </row>
    <row r="26" spans="1:12" x14ac:dyDescent="0.3">
      <c r="A26" s="68"/>
      <c r="B26" s="5"/>
      <c r="C26" s="5"/>
      <c r="D26" s="5"/>
      <c r="E26" s="5"/>
      <c r="F26" s="5"/>
      <c r="G26" s="5"/>
      <c r="H26" s="5"/>
      <c r="I26" s="5"/>
      <c r="J26" s="18"/>
      <c r="K26" s="69"/>
    </row>
    <row r="27" spans="1:12" x14ac:dyDescent="0.3">
      <c r="A27" s="68"/>
      <c r="B27" s="5"/>
      <c r="C27" s="5"/>
      <c r="D27" s="5"/>
      <c r="E27" s="5"/>
      <c r="F27" s="5"/>
      <c r="G27" s="5"/>
      <c r="H27" s="5"/>
      <c r="I27" s="5"/>
      <c r="J27" s="18"/>
      <c r="K27" s="69"/>
    </row>
    <row r="29" spans="1:12" x14ac:dyDescent="0.3">
      <c r="A29" s="68" t="s">
        <v>176</v>
      </c>
      <c r="E29">
        <f>E12+E16+E17+E23</f>
        <v>279.20000000000005</v>
      </c>
      <c r="F29">
        <f>F12+F16+F17+F23</f>
        <v>279.10000000000002</v>
      </c>
      <c r="G29">
        <f>G12+G16+G17+G23</f>
        <v>246.2</v>
      </c>
      <c r="H29">
        <f>H12+H16+H17+H23</f>
        <v>253.5</v>
      </c>
      <c r="I29">
        <f>I12+I16+I17+I23</f>
        <v>518.42700000000002</v>
      </c>
    </row>
  </sheetData>
  <sortState xmlns:xlrd2="http://schemas.microsoft.com/office/spreadsheetml/2017/richdata2" ref="A5:L21">
    <sortCondition ref="A4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26"/>
  <sheetViews>
    <sheetView workbookViewId="0">
      <selection activeCell="A6" sqref="A6:A23"/>
    </sheetView>
  </sheetViews>
  <sheetFormatPr defaultRowHeight="14.4" x14ac:dyDescent="0.3"/>
  <cols>
    <col min="1" max="1" width="25.6640625" bestFit="1" customWidth="1"/>
    <col min="2" max="2" width="5.44140625" customWidth="1"/>
    <col min="3" max="3" width="7" customWidth="1"/>
    <col min="4" max="4" width="12.6640625" bestFit="1" customWidth="1"/>
    <col min="5" max="5" width="7.33203125" customWidth="1"/>
    <col min="6" max="6" width="5.5546875" customWidth="1"/>
    <col min="7" max="7" width="10.6640625" bestFit="1" customWidth="1"/>
    <col min="8" max="8" width="12.33203125" bestFit="1" customWidth="1"/>
    <col min="9" max="9" width="10.5546875" bestFit="1" customWidth="1"/>
    <col min="10" max="10" width="14.44140625" bestFit="1" customWidth="1"/>
    <col min="11" max="11" width="7.33203125" customWidth="1"/>
    <col min="12" max="12" width="5.33203125" customWidth="1"/>
    <col min="13" max="13" width="5.5546875" customWidth="1"/>
    <col min="14" max="14" width="14.109375" bestFit="1" customWidth="1"/>
    <col min="15" max="15" width="47.5546875" bestFit="1" customWidth="1"/>
  </cols>
  <sheetData>
    <row r="1" spans="1:16" x14ac:dyDescent="0.3">
      <c r="A1" t="s">
        <v>61</v>
      </c>
    </row>
    <row r="2" spans="1:16" x14ac:dyDescent="0.3">
      <c r="A2" t="s">
        <v>60</v>
      </c>
    </row>
    <row r="4" spans="1:16" x14ac:dyDescent="0.3">
      <c r="A4" s="1"/>
      <c r="B4" s="1"/>
      <c r="C4" s="1"/>
      <c r="D4" s="1"/>
      <c r="E4" s="1"/>
      <c r="F4" s="1"/>
      <c r="G4" s="1" t="s">
        <v>45</v>
      </c>
      <c r="H4" s="1" t="s">
        <v>47</v>
      </c>
      <c r="I4" s="1" t="s">
        <v>49</v>
      </c>
      <c r="J4" s="1" t="s">
        <v>51</v>
      </c>
      <c r="K4" s="1"/>
      <c r="L4" s="1" t="s">
        <v>54</v>
      </c>
      <c r="M4" s="1" t="s">
        <v>55</v>
      </c>
      <c r="N4" s="1" t="s">
        <v>57</v>
      </c>
      <c r="O4" s="1"/>
    </row>
    <row r="5" spans="1:16" x14ac:dyDescent="0.3">
      <c r="A5" s="2" t="s">
        <v>39</v>
      </c>
      <c r="B5" s="2" t="s">
        <v>40</v>
      </c>
      <c r="C5" s="2" t="s">
        <v>41</v>
      </c>
      <c r="D5" s="2" t="s">
        <v>42</v>
      </c>
      <c r="E5" s="2" t="s">
        <v>43</v>
      </c>
      <c r="F5" s="2" t="s">
        <v>44</v>
      </c>
      <c r="G5" s="2" t="s">
        <v>46</v>
      </c>
      <c r="H5" s="2" t="s">
        <v>48</v>
      </c>
      <c r="I5" s="2" t="s">
        <v>50</v>
      </c>
      <c r="J5" s="2" t="s">
        <v>52</v>
      </c>
      <c r="K5" s="2" t="s">
        <v>53</v>
      </c>
      <c r="L5" s="2" t="s">
        <v>55</v>
      </c>
      <c r="M5" s="2" t="s">
        <v>56</v>
      </c>
      <c r="N5" s="2" t="s">
        <v>58</v>
      </c>
      <c r="O5" s="2" t="s">
        <v>59</v>
      </c>
    </row>
    <row r="6" spans="1:16" x14ac:dyDescent="0.3">
      <c r="A6" s="3" t="s">
        <v>24</v>
      </c>
      <c r="B6" s="3" t="s">
        <v>22</v>
      </c>
      <c r="C6" s="3">
        <v>323606</v>
      </c>
      <c r="D6" s="3" t="s">
        <v>25</v>
      </c>
      <c r="E6" s="3">
        <v>19</v>
      </c>
      <c r="F6" s="3">
        <v>36</v>
      </c>
      <c r="G6" s="4">
        <v>39714</v>
      </c>
      <c r="H6" s="3">
        <v>97.5</v>
      </c>
      <c r="I6" s="3">
        <v>97.5</v>
      </c>
      <c r="J6" s="3">
        <v>97.5</v>
      </c>
      <c r="K6" s="3">
        <v>97.5</v>
      </c>
      <c r="L6" s="3" t="s">
        <v>3</v>
      </c>
      <c r="M6" s="3" t="s">
        <v>4</v>
      </c>
      <c r="N6" s="3">
        <v>172.5</v>
      </c>
      <c r="O6" s="3"/>
      <c r="P6" t="s">
        <v>102</v>
      </c>
    </row>
    <row r="7" spans="1:16" x14ac:dyDescent="0.3">
      <c r="A7" s="3" t="s">
        <v>26</v>
      </c>
      <c r="B7" s="3" t="s">
        <v>8</v>
      </c>
      <c r="C7" s="3">
        <v>323608</v>
      </c>
      <c r="D7" s="3" t="s">
        <v>27</v>
      </c>
      <c r="E7" s="3">
        <v>121</v>
      </c>
      <c r="F7" s="3">
        <v>36</v>
      </c>
      <c r="G7" s="4">
        <v>39527</v>
      </c>
      <c r="H7" s="3">
        <v>100.5</v>
      </c>
      <c r="I7" s="3">
        <v>100.5</v>
      </c>
      <c r="J7" s="3">
        <v>100.5</v>
      </c>
      <c r="K7" s="3">
        <v>100.5</v>
      </c>
      <c r="L7" s="3" t="s">
        <v>3</v>
      </c>
      <c r="M7" s="3" t="s">
        <v>4</v>
      </c>
      <c r="N7" s="3">
        <v>205</v>
      </c>
      <c r="O7" s="3"/>
      <c r="P7" t="s">
        <v>104</v>
      </c>
    </row>
    <row r="8" spans="1:16" x14ac:dyDescent="0.3">
      <c r="A8" s="3" t="s">
        <v>0</v>
      </c>
      <c r="B8" s="3" t="s">
        <v>1</v>
      </c>
      <c r="C8" s="3">
        <v>323617</v>
      </c>
      <c r="D8" s="3" t="s">
        <v>2</v>
      </c>
      <c r="E8" s="3">
        <v>101</v>
      </c>
      <c r="F8" s="3">
        <v>36</v>
      </c>
      <c r="G8" s="4">
        <v>39787</v>
      </c>
      <c r="H8" s="3">
        <v>125</v>
      </c>
      <c r="I8" s="3">
        <v>125</v>
      </c>
      <c r="J8" s="3">
        <v>125</v>
      </c>
      <c r="K8" s="3">
        <v>125</v>
      </c>
      <c r="L8" s="3" t="s">
        <v>3</v>
      </c>
      <c r="M8" s="3" t="s">
        <v>4</v>
      </c>
      <c r="N8" s="3">
        <v>247</v>
      </c>
      <c r="O8" s="3"/>
      <c r="P8" t="s">
        <v>106</v>
      </c>
    </row>
    <row r="9" spans="1:16" x14ac:dyDescent="0.3">
      <c r="A9" s="3" t="s">
        <v>28</v>
      </c>
      <c r="B9" s="3" t="s">
        <v>22</v>
      </c>
      <c r="C9" s="3">
        <v>323614</v>
      </c>
      <c r="D9" s="3" t="s">
        <v>29</v>
      </c>
      <c r="E9" s="3">
        <v>33</v>
      </c>
      <c r="F9" s="3">
        <v>36</v>
      </c>
      <c r="G9" s="4">
        <v>39728</v>
      </c>
      <c r="H9" s="3">
        <v>106.5</v>
      </c>
      <c r="I9" s="3">
        <v>106.5</v>
      </c>
      <c r="J9" s="3">
        <v>106.5</v>
      </c>
      <c r="K9" s="3">
        <v>106.5</v>
      </c>
      <c r="L9" s="3" t="s">
        <v>3</v>
      </c>
      <c r="M9" s="3" t="s">
        <v>4</v>
      </c>
      <c r="N9" s="3">
        <v>191.8</v>
      </c>
      <c r="O9" s="3"/>
      <c r="P9" t="s">
        <v>103</v>
      </c>
    </row>
    <row r="10" spans="1:16" x14ac:dyDescent="0.3">
      <c r="A10" s="3" t="s">
        <v>30</v>
      </c>
      <c r="B10" s="3" t="s">
        <v>22</v>
      </c>
      <c r="C10" s="3">
        <v>323605</v>
      </c>
      <c r="D10" s="3" t="s">
        <v>31</v>
      </c>
      <c r="E10" s="3">
        <v>19</v>
      </c>
      <c r="F10" s="3">
        <v>36</v>
      </c>
      <c r="G10" s="4">
        <v>39547</v>
      </c>
      <c r="H10" s="3">
        <v>100.5</v>
      </c>
      <c r="I10" s="3">
        <v>100.5</v>
      </c>
      <c r="J10" s="3">
        <v>100.5</v>
      </c>
      <c r="K10" s="3">
        <v>100.5</v>
      </c>
      <c r="L10" s="3" t="s">
        <v>3</v>
      </c>
      <c r="M10" s="3" t="s">
        <v>4</v>
      </c>
      <c r="N10" s="3">
        <v>167.5</v>
      </c>
      <c r="O10" s="3"/>
      <c r="P10" t="s">
        <v>104</v>
      </c>
    </row>
    <row r="11" spans="1:16" x14ac:dyDescent="0.3">
      <c r="A11" s="3" t="s">
        <v>32</v>
      </c>
      <c r="B11" s="3" t="s">
        <v>22</v>
      </c>
      <c r="C11" s="3">
        <v>323604</v>
      </c>
      <c r="D11" s="3" t="s">
        <v>23</v>
      </c>
      <c r="E11" s="3">
        <v>19</v>
      </c>
      <c r="F11" s="3">
        <v>36</v>
      </c>
      <c r="G11" s="4">
        <v>39538</v>
      </c>
      <c r="H11" s="3">
        <v>81</v>
      </c>
      <c r="I11" s="3">
        <v>81</v>
      </c>
      <c r="J11" s="3">
        <v>81</v>
      </c>
      <c r="K11" s="3">
        <v>81</v>
      </c>
      <c r="L11" s="3" t="s">
        <v>3</v>
      </c>
      <c r="M11" s="3" t="s">
        <v>4</v>
      </c>
      <c r="N11" s="3">
        <v>157.80000000000001</v>
      </c>
      <c r="O11" s="3"/>
      <c r="P11" t="s">
        <v>105</v>
      </c>
    </row>
    <row r="12" spans="1:16" x14ac:dyDescent="0.3">
      <c r="A12" s="3" t="s">
        <v>10</v>
      </c>
      <c r="B12" s="3" t="s">
        <v>8</v>
      </c>
      <c r="C12" s="3">
        <v>323693</v>
      </c>
      <c r="D12" s="3" t="s">
        <v>9</v>
      </c>
      <c r="E12" s="3">
        <v>29</v>
      </c>
      <c r="F12" s="3">
        <v>36</v>
      </c>
      <c r="G12" s="4">
        <v>40940</v>
      </c>
      <c r="H12" s="3">
        <v>15</v>
      </c>
      <c r="I12" s="3">
        <v>0</v>
      </c>
      <c r="J12" s="3">
        <v>0</v>
      </c>
      <c r="K12" s="3">
        <v>0</v>
      </c>
      <c r="L12" s="3" t="s">
        <v>3</v>
      </c>
      <c r="M12" s="3" t="s">
        <v>4</v>
      </c>
      <c r="N12" s="3">
        <v>33.299999999999997</v>
      </c>
      <c r="O12" s="3"/>
      <c r="P12" t="s">
        <v>107</v>
      </c>
    </row>
    <row r="13" spans="1:16" x14ac:dyDescent="0.3">
      <c r="A13" s="3" t="s">
        <v>5</v>
      </c>
      <c r="B13" s="3" t="s">
        <v>1</v>
      </c>
      <c r="C13" s="3">
        <v>24204</v>
      </c>
      <c r="D13" s="3" t="s">
        <v>6</v>
      </c>
      <c r="E13" s="3">
        <v>53</v>
      </c>
      <c r="F13" s="3">
        <v>36</v>
      </c>
      <c r="G13" s="4">
        <v>37226</v>
      </c>
      <c r="H13" s="3">
        <v>30</v>
      </c>
      <c r="I13" s="3">
        <v>30</v>
      </c>
      <c r="J13" s="3">
        <v>0</v>
      </c>
      <c r="K13" s="3">
        <v>0</v>
      </c>
      <c r="L13" s="3" t="s">
        <v>3</v>
      </c>
      <c r="M13" s="3" t="s">
        <v>4</v>
      </c>
      <c r="N13" s="3">
        <v>59</v>
      </c>
      <c r="O13" s="3"/>
      <c r="P13" t="s">
        <v>109</v>
      </c>
    </row>
    <row r="14" spans="1:16" x14ac:dyDescent="0.3">
      <c r="A14" s="3" t="s">
        <v>15</v>
      </c>
      <c r="B14" s="3" t="s">
        <v>12</v>
      </c>
      <c r="C14" s="3">
        <v>323673</v>
      </c>
      <c r="D14" s="3" t="s">
        <v>16</v>
      </c>
      <c r="E14" s="3">
        <v>43</v>
      </c>
      <c r="F14" s="3">
        <v>36</v>
      </c>
      <c r="G14" s="4">
        <v>40575</v>
      </c>
      <c r="H14" s="3">
        <v>74</v>
      </c>
      <c r="I14" s="3">
        <v>74</v>
      </c>
      <c r="J14" s="3">
        <v>74</v>
      </c>
      <c r="K14" s="3">
        <v>74</v>
      </c>
      <c r="L14" s="3" t="s">
        <v>3</v>
      </c>
      <c r="M14" s="3" t="s">
        <v>4</v>
      </c>
      <c r="N14" s="3">
        <v>172.1</v>
      </c>
      <c r="O14" s="3"/>
      <c r="P14" t="s">
        <v>110</v>
      </c>
    </row>
    <row r="15" spans="1:16" x14ac:dyDescent="0.3">
      <c r="A15" s="3" t="s">
        <v>17</v>
      </c>
      <c r="B15" s="3" t="s">
        <v>1</v>
      </c>
      <c r="C15" s="3">
        <v>323690</v>
      </c>
      <c r="D15" s="3" t="s">
        <v>18</v>
      </c>
      <c r="E15" s="3">
        <v>101</v>
      </c>
      <c r="F15" s="3">
        <v>36</v>
      </c>
      <c r="G15" s="4">
        <v>40878</v>
      </c>
      <c r="H15" s="3">
        <v>55.4</v>
      </c>
      <c r="I15" s="3">
        <v>57.4</v>
      </c>
      <c r="J15" s="3">
        <v>55.4</v>
      </c>
      <c r="K15" s="3">
        <v>55.4</v>
      </c>
      <c r="L15" s="3" t="s">
        <v>3</v>
      </c>
      <c r="M15" s="3" t="s">
        <v>4</v>
      </c>
      <c r="N15" s="3">
        <v>115.1</v>
      </c>
      <c r="O15" s="3"/>
      <c r="P15" t="s">
        <v>111</v>
      </c>
    </row>
    <row r="16" spans="1:16" x14ac:dyDescent="0.3">
      <c r="A16" s="3" t="s">
        <v>19</v>
      </c>
      <c r="B16" s="3" t="s">
        <v>12</v>
      </c>
      <c r="C16" s="3">
        <v>24146</v>
      </c>
      <c r="D16" s="3" t="s">
        <v>20</v>
      </c>
      <c r="E16" s="3">
        <v>53</v>
      </c>
      <c r="F16" s="3">
        <v>36</v>
      </c>
      <c r="G16" s="4">
        <v>36770</v>
      </c>
      <c r="H16" s="3">
        <v>11.6</v>
      </c>
      <c r="I16" s="3">
        <v>11.5</v>
      </c>
      <c r="J16" s="3">
        <v>11.6</v>
      </c>
      <c r="K16" s="3">
        <v>11.6</v>
      </c>
      <c r="L16" s="3" t="s">
        <v>3</v>
      </c>
      <c r="M16" s="3" t="s">
        <v>4</v>
      </c>
      <c r="N16" s="3">
        <v>19</v>
      </c>
      <c r="O16" s="3"/>
      <c r="P16" t="s">
        <v>112</v>
      </c>
    </row>
    <row r="17" spans="1:16" x14ac:dyDescent="0.3">
      <c r="A17" s="3" t="s">
        <v>14</v>
      </c>
      <c r="B17" s="3" t="s">
        <v>12</v>
      </c>
      <c r="C17" s="3">
        <v>323574</v>
      </c>
      <c r="D17" s="3" t="s">
        <v>13</v>
      </c>
      <c r="E17" s="3">
        <v>49</v>
      </c>
      <c r="F17" s="3">
        <v>36</v>
      </c>
      <c r="G17" s="4">
        <v>38718</v>
      </c>
      <c r="H17" s="3">
        <v>231</v>
      </c>
      <c r="I17" s="3">
        <v>231</v>
      </c>
      <c r="J17" s="3">
        <v>231</v>
      </c>
      <c r="K17" s="3">
        <v>231</v>
      </c>
      <c r="L17" s="3" t="s">
        <v>3</v>
      </c>
      <c r="M17" s="3" t="s">
        <v>4</v>
      </c>
      <c r="N17" s="3">
        <v>525.1</v>
      </c>
      <c r="O17" s="3"/>
      <c r="P17" s="38" t="s">
        <v>99</v>
      </c>
    </row>
    <row r="18" spans="1:16" x14ac:dyDescent="0.3">
      <c r="A18" s="3" t="s">
        <v>11</v>
      </c>
      <c r="B18" s="3" t="s">
        <v>12</v>
      </c>
      <c r="C18" s="3">
        <v>323611</v>
      </c>
      <c r="D18" s="3" t="s">
        <v>13</v>
      </c>
      <c r="E18" s="3">
        <v>49</v>
      </c>
      <c r="F18" s="3">
        <v>36</v>
      </c>
      <c r="G18" s="4">
        <v>39417</v>
      </c>
      <c r="H18" s="3">
        <v>90.8</v>
      </c>
      <c r="I18" s="3">
        <v>90.7</v>
      </c>
      <c r="J18" s="3">
        <v>90.8</v>
      </c>
      <c r="K18" s="3">
        <v>90.8</v>
      </c>
      <c r="L18" s="3" t="s">
        <v>3</v>
      </c>
      <c r="M18" s="3" t="s">
        <v>4</v>
      </c>
      <c r="N18" s="3">
        <v>201.3</v>
      </c>
      <c r="O18" s="3"/>
      <c r="P18" s="38" t="s">
        <v>100</v>
      </c>
    </row>
    <row r="19" spans="1:16" x14ac:dyDescent="0.3">
      <c r="A19" s="3" t="s">
        <v>21</v>
      </c>
      <c r="B19" s="3" t="s">
        <v>22</v>
      </c>
      <c r="C19" s="3">
        <v>323696</v>
      </c>
      <c r="D19" s="3" t="s">
        <v>23</v>
      </c>
      <c r="E19" s="3">
        <v>19</v>
      </c>
      <c r="F19" s="3">
        <v>36</v>
      </c>
      <c r="G19" s="4">
        <v>41091</v>
      </c>
      <c r="H19" s="3">
        <v>215.5</v>
      </c>
      <c r="I19" s="3">
        <v>215.2</v>
      </c>
      <c r="J19" s="3">
        <v>0</v>
      </c>
      <c r="K19" s="3">
        <v>0</v>
      </c>
      <c r="L19" s="3" t="s">
        <v>3</v>
      </c>
      <c r="M19" s="3" t="s">
        <v>4</v>
      </c>
      <c r="N19" s="3">
        <v>142.6</v>
      </c>
      <c r="O19" s="3" t="s">
        <v>62</v>
      </c>
      <c r="P19" s="24" t="s">
        <v>115</v>
      </c>
    </row>
    <row r="20" spans="1:16" x14ac:dyDescent="0.3">
      <c r="A20" s="3" t="s">
        <v>35</v>
      </c>
      <c r="B20" s="3" t="s">
        <v>12</v>
      </c>
      <c r="C20" s="3">
        <v>323609</v>
      </c>
      <c r="D20" s="3" t="s">
        <v>36</v>
      </c>
      <c r="E20" s="3">
        <v>53</v>
      </c>
      <c r="F20" s="3">
        <v>36</v>
      </c>
      <c r="G20" s="4">
        <v>39314</v>
      </c>
      <c r="H20" s="3">
        <v>34.5</v>
      </c>
      <c r="I20" s="3">
        <v>34.5</v>
      </c>
      <c r="J20" s="3">
        <v>34.5</v>
      </c>
      <c r="K20" s="3">
        <v>34.5</v>
      </c>
      <c r="L20" s="3" t="s">
        <v>3</v>
      </c>
      <c r="M20" s="3" t="s">
        <v>4</v>
      </c>
      <c r="N20" s="3">
        <v>86.7</v>
      </c>
      <c r="O20" s="3"/>
      <c r="P20" s="24" t="s">
        <v>113</v>
      </c>
    </row>
    <row r="21" spans="1:16" x14ac:dyDescent="0.3">
      <c r="A21" s="3" t="s">
        <v>7</v>
      </c>
      <c r="B21" s="3" t="s">
        <v>8</v>
      </c>
      <c r="C21" s="3">
        <v>323596</v>
      </c>
      <c r="D21" s="3" t="s">
        <v>9</v>
      </c>
      <c r="E21" s="3">
        <v>29</v>
      </c>
      <c r="F21" s="3">
        <v>36</v>
      </c>
      <c r="G21" s="4">
        <v>39105</v>
      </c>
      <c r="H21" s="3">
        <v>20</v>
      </c>
      <c r="I21" s="3">
        <v>20</v>
      </c>
      <c r="J21" s="3">
        <v>20</v>
      </c>
      <c r="K21" s="3">
        <v>20</v>
      </c>
      <c r="L21" s="3" t="s">
        <v>3</v>
      </c>
      <c r="M21" s="3" t="s">
        <v>4</v>
      </c>
      <c r="N21" s="3">
        <v>48.5</v>
      </c>
      <c r="O21" s="3"/>
      <c r="P21" t="s">
        <v>108</v>
      </c>
    </row>
    <row r="22" spans="1:16" x14ac:dyDescent="0.3">
      <c r="A22" s="3" t="s">
        <v>37</v>
      </c>
      <c r="B22" s="3" t="s">
        <v>38</v>
      </c>
      <c r="C22" s="3">
        <v>24143</v>
      </c>
      <c r="D22" s="3" t="s">
        <v>34</v>
      </c>
      <c r="E22" s="3">
        <v>121</v>
      </c>
      <c r="F22" s="3">
        <v>36</v>
      </c>
      <c r="G22" s="4">
        <v>36800</v>
      </c>
      <c r="H22" s="3">
        <v>6.6</v>
      </c>
      <c r="I22" s="3">
        <v>6.6</v>
      </c>
      <c r="J22" s="3">
        <v>0</v>
      </c>
      <c r="K22" s="3">
        <v>0</v>
      </c>
      <c r="L22" s="3" t="s">
        <v>3</v>
      </c>
      <c r="M22" s="3" t="s">
        <v>4</v>
      </c>
      <c r="N22" s="3">
        <v>12</v>
      </c>
      <c r="O22" s="3"/>
      <c r="P22" t="s">
        <v>114</v>
      </c>
    </row>
    <row r="23" spans="1:16" x14ac:dyDescent="0.3">
      <c r="A23" s="3" t="s">
        <v>33</v>
      </c>
      <c r="B23" s="3" t="s">
        <v>1</v>
      </c>
      <c r="C23" s="3">
        <v>323626</v>
      </c>
      <c r="D23" s="3" t="s">
        <v>34</v>
      </c>
      <c r="E23" s="3">
        <v>121</v>
      </c>
      <c r="F23" s="3">
        <v>36</v>
      </c>
      <c r="G23" s="4">
        <v>39793</v>
      </c>
      <c r="H23" s="3">
        <v>126</v>
      </c>
      <c r="I23" s="3">
        <v>126</v>
      </c>
      <c r="J23" s="3">
        <v>126</v>
      </c>
      <c r="K23" s="3">
        <v>126</v>
      </c>
      <c r="L23" s="3" t="s">
        <v>3</v>
      </c>
      <c r="M23" s="3" t="s">
        <v>4</v>
      </c>
      <c r="N23" s="3">
        <v>249.3</v>
      </c>
      <c r="O23" s="3"/>
      <c r="P23" t="s">
        <v>101</v>
      </c>
    </row>
    <row r="26" spans="1:16" x14ac:dyDescent="0.3">
      <c r="H26">
        <f>H20/1.5</f>
        <v>23</v>
      </c>
    </row>
  </sheetData>
  <sortState xmlns:xlrd2="http://schemas.microsoft.com/office/spreadsheetml/2017/richdata2" ref="A6:O23">
    <sortCondition ref="A6"/>
  </sortState>
  <pageMargins left="0.7" right="0.7" top="0.75" bottom="0.75" header="0.3" footer="0.3"/>
  <pageSetup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74"/>
  <sheetViews>
    <sheetView topLeftCell="A25" workbookViewId="0">
      <selection activeCell="A36" sqref="A36:J57"/>
    </sheetView>
  </sheetViews>
  <sheetFormatPr defaultRowHeight="14.4" x14ac:dyDescent="0.3"/>
  <cols>
    <col min="1" max="1" width="25.6640625" bestFit="1" customWidth="1"/>
    <col min="2" max="2" width="5.44140625" customWidth="1"/>
    <col min="3" max="3" width="12.6640625" bestFit="1" customWidth="1"/>
    <col min="4" max="4" width="10.6640625" bestFit="1" customWidth="1"/>
    <col min="5" max="5" width="12.33203125" bestFit="1" customWidth="1"/>
    <col min="6" max="6" width="10.5546875" bestFit="1" customWidth="1"/>
    <col min="7" max="7" width="14.44140625" bestFit="1" customWidth="1"/>
    <col min="8" max="8" width="7.33203125" customWidth="1"/>
    <col min="9" max="9" width="14.109375" bestFit="1" customWidth="1"/>
    <col min="11" max="11" width="9.109375" hidden="1" customWidth="1"/>
  </cols>
  <sheetData>
    <row r="1" spans="1:12" x14ac:dyDescent="0.3">
      <c r="A1" t="s">
        <v>63</v>
      </c>
    </row>
    <row r="2" spans="1:12" x14ac:dyDescent="0.3">
      <c r="A2" t="s">
        <v>60</v>
      </c>
    </row>
    <row r="4" spans="1:12" x14ac:dyDescent="0.3">
      <c r="A4" s="9"/>
      <c r="B4" s="9"/>
      <c r="C4" s="9"/>
      <c r="D4" s="9" t="s">
        <v>45</v>
      </c>
      <c r="E4" s="9" t="s">
        <v>47</v>
      </c>
      <c r="F4" s="9" t="s">
        <v>49</v>
      </c>
      <c r="G4" s="9" t="s">
        <v>51</v>
      </c>
      <c r="H4" s="9"/>
      <c r="I4" s="9" t="s">
        <v>57</v>
      </c>
      <c r="J4" s="10" t="s">
        <v>64</v>
      </c>
    </row>
    <row r="5" spans="1:12" x14ac:dyDescent="0.3">
      <c r="A5" s="11" t="s">
        <v>39</v>
      </c>
      <c r="B5" s="11" t="s">
        <v>40</v>
      </c>
      <c r="C5" s="11" t="s">
        <v>42</v>
      </c>
      <c r="D5" s="11" t="s">
        <v>46</v>
      </c>
      <c r="E5" s="11" t="s">
        <v>48</v>
      </c>
      <c r="F5" s="11" t="s">
        <v>50</v>
      </c>
      <c r="G5" s="11" t="s">
        <v>52</v>
      </c>
      <c r="H5" s="11" t="s">
        <v>53</v>
      </c>
      <c r="I5" s="11" t="s">
        <v>58</v>
      </c>
      <c r="J5" s="12" t="s">
        <v>65</v>
      </c>
    </row>
    <row r="6" spans="1:12" x14ac:dyDescent="0.3">
      <c r="A6" s="7" t="s">
        <v>0</v>
      </c>
      <c r="B6" s="8" t="s">
        <v>1</v>
      </c>
      <c r="C6" s="3" t="s">
        <v>2</v>
      </c>
      <c r="D6" s="4">
        <v>39787</v>
      </c>
      <c r="E6" s="3">
        <v>125</v>
      </c>
      <c r="F6" s="3">
        <v>125</v>
      </c>
      <c r="G6" s="3">
        <v>125</v>
      </c>
      <c r="H6" s="3">
        <v>125</v>
      </c>
      <c r="I6" s="3">
        <v>247</v>
      </c>
      <c r="J6" s="6">
        <f>(I6*1000)/(8760*E6)</f>
        <v>0.22557077625570776</v>
      </c>
      <c r="K6">
        <f>E6*8760</f>
        <v>1095000</v>
      </c>
    </row>
    <row r="7" spans="1:12" x14ac:dyDescent="0.3">
      <c r="A7" s="7" t="s">
        <v>5</v>
      </c>
      <c r="B7" s="8" t="s">
        <v>1</v>
      </c>
      <c r="C7" s="3" t="s">
        <v>6</v>
      </c>
      <c r="D7" s="4">
        <v>37226</v>
      </c>
      <c r="E7" s="3">
        <v>30</v>
      </c>
      <c r="F7" s="3">
        <v>30</v>
      </c>
      <c r="G7" s="3">
        <v>0</v>
      </c>
      <c r="H7" s="3">
        <v>0</v>
      </c>
      <c r="I7" s="3">
        <v>59</v>
      </c>
      <c r="J7" s="6">
        <f t="shared" ref="J7:J26" si="0">(I7*1000)/(8760*E7)</f>
        <v>0.22450532724505326</v>
      </c>
      <c r="K7">
        <f t="shared" ref="K7:K24" si="1">E7*8760</f>
        <v>262800</v>
      </c>
    </row>
    <row r="8" spans="1:12" x14ac:dyDescent="0.3">
      <c r="A8" s="7" t="s">
        <v>7</v>
      </c>
      <c r="B8" s="8" t="s">
        <v>8</v>
      </c>
      <c r="C8" s="3" t="s">
        <v>9</v>
      </c>
      <c r="D8" s="4">
        <v>39105</v>
      </c>
      <c r="E8" s="3">
        <v>20</v>
      </c>
      <c r="F8" s="3">
        <v>20</v>
      </c>
      <c r="G8" s="3">
        <v>20</v>
      </c>
      <c r="H8" s="3">
        <v>20</v>
      </c>
      <c r="I8" s="3">
        <v>48.5</v>
      </c>
      <c r="J8" s="6">
        <f t="shared" si="0"/>
        <v>0.27682648401826482</v>
      </c>
      <c r="K8">
        <f t="shared" si="1"/>
        <v>175200</v>
      </c>
    </row>
    <row r="9" spans="1:12" x14ac:dyDescent="0.3">
      <c r="A9" s="7" t="s">
        <v>10</v>
      </c>
      <c r="B9" s="8" t="s">
        <v>8</v>
      </c>
      <c r="C9" s="3" t="s">
        <v>9</v>
      </c>
      <c r="D9" s="4">
        <v>40940</v>
      </c>
      <c r="E9" s="3">
        <v>15</v>
      </c>
      <c r="F9" s="3">
        <v>0</v>
      </c>
      <c r="G9" s="3">
        <v>0</v>
      </c>
      <c r="H9" s="3">
        <v>0</v>
      </c>
      <c r="I9" s="3">
        <v>33.299999999999997</v>
      </c>
      <c r="J9" s="6">
        <f t="shared" si="0"/>
        <v>0.25342465753424659</v>
      </c>
      <c r="K9">
        <f t="shared" si="1"/>
        <v>131400</v>
      </c>
    </row>
    <row r="10" spans="1:12" x14ac:dyDescent="0.3">
      <c r="A10" s="7" t="s">
        <v>11</v>
      </c>
      <c r="B10" s="8" t="s">
        <v>12</v>
      </c>
      <c r="C10" s="3" t="s">
        <v>13</v>
      </c>
      <c r="D10" s="4">
        <v>39417</v>
      </c>
      <c r="E10" s="3">
        <v>90.8</v>
      </c>
      <c r="F10" s="3">
        <v>90.7</v>
      </c>
      <c r="G10" s="3">
        <v>90.8</v>
      </c>
      <c r="H10" s="3">
        <v>90.8</v>
      </c>
      <c r="I10" s="3">
        <v>201.3</v>
      </c>
      <c r="J10" s="6">
        <f t="shared" si="0"/>
        <v>0.25307766580170177</v>
      </c>
      <c r="K10">
        <f t="shared" si="1"/>
        <v>795408</v>
      </c>
    </row>
    <row r="11" spans="1:12" x14ac:dyDescent="0.3">
      <c r="A11" s="7" t="s">
        <v>14</v>
      </c>
      <c r="B11" s="8" t="s">
        <v>12</v>
      </c>
      <c r="C11" s="3" t="s">
        <v>13</v>
      </c>
      <c r="D11" s="4">
        <v>38718</v>
      </c>
      <c r="E11" s="14">
        <v>231</v>
      </c>
      <c r="F11" s="3">
        <v>231</v>
      </c>
      <c r="G11" s="3">
        <v>231</v>
      </c>
      <c r="H11" s="3">
        <v>231</v>
      </c>
      <c r="I11" s="3">
        <v>525.1</v>
      </c>
      <c r="J11" s="6">
        <f t="shared" si="0"/>
        <v>0.25949317045207454</v>
      </c>
      <c r="K11">
        <f t="shared" si="1"/>
        <v>2023560</v>
      </c>
    </row>
    <row r="12" spans="1:12" x14ac:dyDescent="0.3">
      <c r="A12" s="7" t="s">
        <v>15</v>
      </c>
      <c r="B12" s="8" t="s">
        <v>12</v>
      </c>
      <c r="C12" s="3" t="s">
        <v>16</v>
      </c>
      <c r="D12" s="4">
        <v>40575</v>
      </c>
      <c r="E12" s="3">
        <v>74</v>
      </c>
      <c r="F12" s="3">
        <v>74</v>
      </c>
      <c r="G12" s="3">
        <v>74</v>
      </c>
      <c r="H12" s="3">
        <v>74</v>
      </c>
      <c r="I12" s="3">
        <v>172.1</v>
      </c>
      <c r="J12" s="6">
        <f t="shared" si="0"/>
        <v>0.26548809083055658</v>
      </c>
      <c r="K12">
        <f t="shared" si="1"/>
        <v>648240</v>
      </c>
    </row>
    <row r="13" spans="1:12" x14ac:dyDescent="0.3">
      <c r="A13" s="7" t="s">
        <v>17</v>
      </c>
      <c r="B13" s="8" t="s">
        <v>1</v>
      </c>
      <c r="C13" s="3" t="s">
        <v>18</v>
      </c>
      <c r="D13" s="4">
        <v>40878</v>
      </c>
      <c r="E13" s="3">
        <v>55.4</v>
      </c>
      <c r="F13" s="3">
        <v>57.4</v>
      </c>
      <c r="G13" s="3">
        <v>55.4</v>
      </c>
      <c r="H13" s="3">
        <v>55.4</v>
      </c>
      <c r="I13" s="3">
        <v>115.1</v>
      </c>
      <c r="J13" s="6">
        <f t="shared" si="0"/>
        <v>0.23717092791322553</v>
      </c>
      <c r="K13">
        <f t="shared" si="1"/>
        <v>485304</v>
      </c>
    </row>
    <row r="14" spans="1:12" x14ac:dyDescent="0.3">
      <c r="A14" s="7" t="s">
        <v>19</v>
      </c>
      <c r="B14" s="8" t="s">
        <v>12</v>
      </c>
      <c r="C14" s="3" t="s">
        <v>20</v>
      </c>
      <c r="D14" s="4">
        <v>36770</v>
      </c>
      <c r="E14" s="3">
        <v>11.6</v>
      </c>
      <c r="F14" s="3">
        <v>11.5</v>
      </c>
      <c r="G14" s="3">
        <v>11.6</v>
      </c>
      <c r="H14" s="3">
        <v>11.6</v>
      </c>
      <c r="I14" s="3">
        <v>19</v>
      </c>
      <c r="J14" s="6">
        <f t="shared" si="0"/>
        <v>0.18697842859392222</v>
      </c>
      <c r="K14">
        <f t="shared" si="1"/>
        <v>101616</v>
      </c>
    </row>
    <row r="15" spans="1:12" x14ac:dyDescent="0.3">
      <c r="A15" s="7" t="s">
        <v>21</v>
      </c>
      <c r="B15" s="8" t="s">
        <v>22</v>
      </c>
      <c r="C15" s="3" t="s">
        <v>23</v>
      </c>
      <c r="D15" s="4">
        <v>41091</v>
      </c>
      <c r="E15" s="3">
        <v>215.5</v>
      </c>
      <c r="F15" s="3">
        <v>215.2</v>
      </c>
      <c r="G15" s="3">
        <v>0</v>
      </c>
      <c r="H15" s="3">
        <v>0</v>
      </c>
      <c r="I15" s="3">
        <v>142.6</v>
      </c>
      <c r="J15" s="6">
        <f>(I15*1000)/(24*153*E15)</f>
        <v>0.18020613762390753</v>
      </c>
      <c r="K15">
        <f>24*153*E15</f>
        <v>791316</v>
      </c>
      <c r="L15" s="5" t="s">
        <v>62</v>
      </c>
    </row>
    <row r="16" spans="1:12" x14ac:dyDescent="0.3">
      <c r="A16" s="7" t="s">
        <v>73</v>
      </c>
      <c r="B16" s="8" t="s">
        <v>1</v>
      </c>
      <c r="C16" s="20" t="s">
        <v>74</v>
      </c>
      <c r="D16" s="4">
        <v>39845</v>
      </c>
      <c r="E16" s="20">
        <v>112.5</v>
      </c>
      <c r="F16" s="20">
        <v>112.5</v>
      </c>
      <c r="G16" s="20">
        <v>112.5</v>
      </c>
      <c r="H16" s="20">
        <v>112.5</v>
      </c>
      <c r="I16" s="20">
        <v>254.6</v>
      </c>
      <c r="J16" s="6">
        <f t="shared" ref="J16" si="2">(I16*1000)/(8760*E16)</f>
        <v>0.25834601725012685</v>
      </c>
      <c r="K16">
        <f t="shared" si="1"/>
        <v>985500</v>
      </c>
      <c r="L16" s="5"/>
    </row>
    <row r="17" spans="1:11" x14ac:dyDescent="0.3">
      <c r="A17" s="7" t="s">
        <v>24</v>
      </c>
      <c r="B17" s="8" t="s">
        <v>22</v>
      </c>
      <c r="C17" s="3" t="s">
        <v>25</v>
      </c>
      <c r="D17" s="4">
        <v>39714</v>
      </c>
      <c r="E17" s="3">
        <v>97.5</v>
      </c>
      <c r="F17" s="3">
        <v>97.5</v>
      </c>
      <c r="G17" s="3">
        <v>97.5</v>
      </c>
      <c r="H17" s="3">
        <v>97.5</v>
      </c>
      <c r="I17" s="3">
        <v>172.5</v>
      </c>
      <c r="J17" s="6">
        <f t="shared" si="0"/>
        <v>0.2019669827889006</v>
      </c>
      <c r="K17">
        <f t="shared" si="1"/>
        <v>854100</v>
      </c>
    </row>
    <row r="18" spans="1:11" x14ac:dyDescent="0.3">
      <c r="A18" s="7" t="s">
        <v>26</v>
      </c>
      <c r="B18" s="8" t="s">
        <v>8</v>
      </c>
      <c r="C18" s="3" t="s">
        <v>27</v>
      </c>
      <c r="D18" s="4">
        <v>39527</v>
      </c>
      <c r="E18" s="3">
        <v>100.5</v>
      </c>
      <c r="F18" s="3">
        <v>100.5</v>
      </c>
      <c r="G18" s="3">
        <v>100.5</v>
      </c>
      <c r="H18" s="3">
        <v>100.5</v>
      </c>
      <c r="I18" s="3">
        <v>205</v>
      </c>
      <c r="J18" s="6">
        <f t="shared" si="0"/>
        <v>0.23285399486585337</v>
      </c>
      <c r="K18">
        <f t="shared" si="1"/>
        <v>880380</v>
      </c>
    </row>
    <row r="19" spans="1:11" x14ac:dyDescent="0.3">
      <c r="A19" s="7" t="s">
        <v>28</v>
      </c>
      <c r="B19" s="8" t="s">
        <v>22</v>
      </c>
      <c r="C19" s="3" t="s">
        <v>29</v>
      </c>
      <c r="D19" s="4">
        <v>39728</v>
      </c>
      <c r="E19" s="3">
        <v>106.5</v>
      </c>
      <c r="F19" s="3">
        <v>106.5</v>
      </c>
      <c r="G19" s="3">
        <v>106.5</v>
      </c>
      <c r="H19" s="3">
        <v>106.5</v>
      </c>
      <c r="I19" s="3">
        <v>191.8</v>
      </c>
      <c r="J19" s="6">
        <f t="shared" si="0"/>
        <v>0.2055866400840354</v>
      </c>
      <c r="K19">
        <f t="shared" si="1"/>
        <v>932940</v>
      </c>
    </row>
    <row r="20" spans="1:11" x14ac:dyDescent="0.3">
      <c r="A20" s="7" t="s">
        <v>30</v>
      </c>
      <c r="B20" s="8" t="s">
        <v>22</v>
      </c>
      <c r="C20" s="3" t="s">
        <v>31</v>
      </c>
      <c r="D20" s="4">
        <v>39547</v>
      </c>
      <c r="E20" s="3">
        <v>100.5</v>
      </c>
      <c r="F20" s="3">
        <v>100.5</v>
      </c>
      <c r="G20" s="3">
        <v>100.5</v>
      </c>
      <c r="H20" s="3">
        <v>100.5</v>
      </c>
      <c r="I20" s="3">
        <v>167.5</v>
      </c>
      <c r="J20" s="6">
        <f t="shared" si="0"/>
        <v>0.19025875190258751</v>
      </c>
      <c r="K20">
        <f t="shared" si="1"/>
        <v>880380</v>
      </c>
    </row>
    <row r="21" spans="1:11" x14ac:dyDescent="0.3">
      <c r="A21" s="7" t="s">
        <v>32</v>
      </c>
      <c r="B21" s="8" t="s">
        <v>22</v>
      </c>
      <c r="C21" s="3" t="s">
        <v>23</v>
      </c>
      <c r="D21" s="4">
        <v>39538</v>
      </c>
      <c r="E21" s="3">
        <v>81</v>
      </c>
      <c r="F21" s="3">
        <v>81</v>
      </c>
      <c r="G21" s="3">
        <v>81</v>
      </c>
      <c r="H21" s="3">
        <v>81</v>
      </c>
      <c r="I21" s="3">
        <v>157.80000000000001</v>
      </c>
      <c r="J21" s="6">
        <f t="shared" si="0"/>
        <v>0.22239134111280229</v>
      </c>
      <c r="K21">
        <f t="shared" si="1"/>
        <v>709560</v>
      </c>
    </row>
    <row r="22" spans="1:11" x14ac:dyDescent="0.3">
      <c r="A22" s="7" t="s">
        <v>33</v>
      </c>
      <c r="B22" s="8" t="s">
        <v>1</v>
      </c>
      <c r="C22" s="3" t="s">
        <v>34</v>
      </c>
      <c r="D22" s="4">
        <v>39793</v>
      </c>
      <c r="E22" s="3">
        <v>126</v>
      </c>
      <c r="F22" s="3">
        <v>126</v>
      </c>
      <c r="G22" s="3">
        <v>126</v>
      </c>
      <c r="H22" s="3">
        <v>126</v>
      </c>
      <c r="I22" s="3">
        <v>249.3</v>
      </c>
      <c r="J22" s="6">
        <f t="shared" si="0"/>
        <v>0.22586431833007176</v>
      </c>
      <c r="K22">
        <f t="shared" si="1"/>
        <v>1103760</v>
      </c>
    </row>
    <row r="23" spans="1:11" x14ac:dyDescent="0.3">
      <c r="A23" s="7" t="s">
        <v>35</v>
      </c>
      <c r="B23" s="8" t="s">
        <v>12</v>
      </c>
      <c r="C23" s="3" t="s">
        <v>36</v>
      </c>
      <c r="D23" s="4">
        <v>39314</v>
      </c>
      <c r="E23" s="3">
        <v>34.5</v>
      </c>
      <c r="F23" s="3">
        <v>34.5</v>
      </c>
      <c r="G23" s="3">
        <v>34.5</v>
      </c>
      <c r="H23" s="3">
        <v>34.5</v>
      </c>
      <c r="I23" s="3">
        <v>86.7</v>
      </c>
      <c r="J23" s="6">
        <f t="shared" si="0"/>
        <v>0.2868771093905102</v>
      </c>
      <c r="K23">
        <f t="shared" si="1"/>
        <v>302220</v>
      </c>
    </row>
    <row r="24" spans="1:11" x14ac:dyDescent="0.3">
      <c r="A24" s="7" t="s">
        <v>37</v>
      </c>
      <c r="B24" s="8" t="s">
        <v>38</v>
      </c>
      <c r="C24" s="3" t="s">
        <v>34</v>
      </c>
      <c r="D24" s="4">
        <v>36800</v>
      </c>
      <c r="E24" s="3">
        <v>6.6</v>
      </c>
      <c r="F24" s="3">
        <v>6.6</v>
      </c>
      <c r="G24" s="3">
        <v>0</v>
      </c>
      <c r="H24" s="3">
        <v>0</v>
      </c>
      <c r="I24" s="3">
        <v>12</v>
      </c>
      <c r="J24" s="6">
        <f t="shared" si="0"/>
        <v>0.20755500207555003</v>
      </c>
      <c r="K24">
        <f t="shared" si="1"/>
        <v>57816</v>
      </c>
    </row>
    <row r="25" spans="1:11" x14ac:dyDescent="0.3">
      <c r="A25" s="13" t="s">
        <v>66</v>
      </c>
      <c r="B25" s="3"/>
      <c r="C25" s="3"/>
      <c r="D25" s="3"/>
      <c r="E25" s="3">
        <f>SUM(E6:E24)</f>
        <v>1633.8999999999999</v>
      </c>
      <c r="F25" s="3">
        <f t="shared" ref="F25:K25" si="3">SUM(F6:F24)</f>
        <v>1620.3999999999999</v>
      </c>
      <c r="G25" s="3">
        <f t="shared" si="3"/>
        <v>1366.8</v>
      </c>
      <c r="H25" s="3">
        <f t="shared" si="3"/>
        <v>1366.8</v>
      </c>
      <c r="I25" s="3">
        <f t="shared" si="3"/>
        <v>3060.2</v>
      </c>
      <c r="J25" s="6">
        <f>1000*I25/K25</f>
        <v>0.23154390345401582</v>
      </c>
      <c r="K25" s="3">
        <f t="shared" si="3"/>
        <v>13216500</v>
      </c>
    </row>
    <row r="26" spans="1:11" x14ac:dyDescent="0.3">
      <c r="A26" s="13" t="s">
        <v>67</v>
      </c>
      <c r="B26" s="3"/>
      <c r="C26" s="3"/>
      <c r="D26" s="3"/>
      <c r="E26" s="3">
        <f>E25-E15</f>
        <v>1418.3999999999999</v>
      </c>
      <c r="F26" s="3">
        <f t="shared" ref="F26:I26" si="4">F25-F15</f>
        <v>1405.1999999999998</v>
      </c>
      <c r="G26" s="3">
        <f t="shared" si="4"/>
        <v>1366.8</v>
      </c>
      <c r="H26" s="3">
        <f t="shared" si="4"/>
        <v>1366.8</v>
      </c>
      <c r="I26" s="3">
        <f t="shared" si="4"/>
        <v>2917.6</v>
      </c>
      <c r="J26" s="6">
        <f t="shared" si="0"/>
        <v>0.23481342409094308</v>
      </c>
    </row>
    <row r="35" spans="1:10" x14ac:dyDescent="0.3">
      <c r="A35" s="15"/>
      <c r="B35" s="16"/>
      <c r="C35" s="5"/>
      <c r="D35" s="17"/>
      <c r="E35" s="5"/>
      <c r="F35" s="5"/>
      <c r="G35" s="5"/>
      <c r="H35" s="5"/>
      <c r="I35" s="5"/>
      <c r="J35" s="18"/>
    </row>
    <row r="36" spans="1:10" x14ac:dyDescent="0.3">
      <c r="A36" s="9"/>
      <c r="B36" s="9"/>
      <c r="C36" s="9"/>
      <c r="D36" s="9" t="s">
        <v>45</v>
      </c>
      <c r="E36" s="9" t="s">
        <v>47</v>
      </c>
      <c r="F36" s="9" t="s">
        <v>49</v>
      </c>
      <c r="G36" s="9" t="s">
        <v>75</v>
      </c>
      <c r="H36" s="9"/>
      <c r="I36" s="9" t="s">
        <v>72</v>
      </c>
      <c r="J36" s="10" t="s">
        <v>64</v>
      </c>
    </row>
    <row r="37" spans="1:10" x14ac:dyDescent="0.3">
      <c r="A37" s="11" t="s">
        <v>39</v>
      </c>
      <c r="B37" s="11" t="s">
        <v>40</v>
      </c>
      <c r="C37" s="11" t="s">
        <v>42</v>
      </c>
      <c r="D37" s="11" t="s">
        <v>46</v>
      </c>
      <c r="E37" s="11" t="s">
        <v>48</v>
      </c>
      <c r="F37" s="11" t="s">
        <v>50</v>
      </c>
      <c r="G37" s="11" t="s">
        <v>52</v>
      </c>
      <c r="H37" s="11" t="s">
        <v>53</v>
      </c>
      <c r="I37" s="11" t="s">
        <v>58</v>
      </c>
      <c r="J37" s="12" t="s">
        <v>65</v>
      </c>
    </row>
    <row r="38" spans="1:10" x14ac:dyDescent="0.3">
      <c r="A38" s="7" t="s">
        <v>0</v>
      </c>
      <c r="B38" s="8" t="s">
        <v>1</v>
      </c>
      <c r="C38" s="3" t="s">
        <v>2</v>
      </c>
      <c r="D38" s="4">
        <v>39787</v>
      </c>
      <c r="E38" s="3">
        <v>125</v>
      </c>
      <c r="F38" s="3">
        <v>125</v>
      </c>
      <c r="G38" s="3">
        <v>125</v>
      </c>
      <c r="H38" s="3">
        <v>125</v>
      </c>
      <c r="I38" s="3">
        <v>242.4</v>
      </c>
      <c r="J38" s="6">
        <f>(I38*1000)/(8760*E38)</f>
        <v>0.22136986301369863</v>
      </c>
    </row>
    <row r="39" spans="1:10" x14ac:dyDescent="0.3">
      <c r="A39" s="7" t="s">
        <v>5</v>
      </c>
      <c r="B39" s="8" t="s">
        <v>1</v>
      </c>
      <c r="C39" s="3" t="s">
        <v>6</v>
      </c>
      <c r="D39" s="4">
        <v>37226</v>
      </c>
      <c r="E39" s="3">
        <v>30</v>
      </c>
      <c r="F39" s="3">
        <v>30</v>
      </c>
      <c r="G39" s="3">
        <v>0</v>
      </c>
      <c r="H39" s="3">
        <v>0</v>
      </c>
      <c r="I39" s="3">
        <v>66</v>
      </c>
      <c r="J39" s="6">
        <f t="shared" ref="J39:J43" si="5">(I39*1000)/(8760*E39)</f>
        <v>0.25114155251141551</v>
      </c>
    </row>
    <row r="40" spans="1:10" x14ac:dyDescent="0.3">
      <c r="A40" s="7" t="s">
        <v>7</v>
      </c>
      <c r="B40" s="8" t="s">
        <v>8</v>
      </c>
      <c r="C40" s="3" t="s">
        <v>9</v>
      </c>
      <c r="D40" s="4">
        <v>39105</v>
      </c>
      <c r="E40" s="3">
        <v>20</v>
      </c>
      <c r="F40" s="3">
        <v>20</v>
      </c>
      <c r="G40" s="3">
        <v>20</v>
      </c>
      <c r="H40" s="3">
        <v>20</v>
      </c>
      <c r="I40" s="3">
        <v>38.4</v>
      </c>
      <c r="J40" s="6">
        <f t="shared" si="5"/>
        <v>0.21917808219178081</v>
      </c>
    </row>
    <row r="41" spans="1:10" x14ac:dyDescent="0.3">
      <c r="A41" s="7" t="s">
        <v>11</v>
      </c>
      <c r="B41" s="8" t="s">
        <v>12</v>
      </c>
      <c r="C41" s="3" t="s">
        <v>13</v>
      </c>
      <c r="D41" s="4">
        <v>39417</v>
      </c>
      <c r="E41" s="3">
        <v>90.8</v>
      </c>
      <c r="F41" s="3">
        <v>90.7</v>
      </c>
      <c r="G41" s="3">
        <v>90.8</v>
      </c>
      <c r="H41" s="3">
        <v>90.8</v>
      </c>
      <c r="I41" s="3">
        <v>202.1</v>
      </c>
      <c r="J41" s="6">
        <f t="shared" si="5"/>
        <v>0.2540834389395128</v>
      </c>
    </row>
    <row r="42" spans="1:10" x14ac:dyDescent="0.3">
      <c r="A42" s="7" t="s">
        <v>14</v>
      </c>
      <c r="B42" s="8" t="s">
        <v>12</v>
      </c>
      <c r="C42" s="3" t="s">
        <v>13</v>
      </c>
      <c r="D42" s="4">
        <v>38718</v>
      </c>
      <c r="E42" s="20">
        <v>231</v>
      </c>
      <c r="F42" s="3">
        <v>231</v>
      </c>
      <c r="G42" s="3">
        <v>231</v>
      </c>
      <c r="H42" s="3">
        <v>231</v>
      </c>
      <c r="I42" s="3">
        <v>530.20000000000005</v>
      </c>
      <c r="J42" s="6">
        <f t="shared" si="5"/>
        <v>0.26201348119156337</v>
      </c>
    </row>
    <row r="43" spans="1:10" x14ac:dyDescent="0.3">
      <c r="A43" s="7" t="s">
        <v>19</v>
      </c>
      <c r="B43" s="8" t="s">
        <v>12</v>
      </c>
      <c r="C43" s="3" t="s">
        <v>20</v>
      </c>
      <c r="D43" s="4">
        <v>36770</v>
      </c>
      <c r="E43" s="3">
        <v>11.6</v>
      </c>
      <c r="F43" s="3">
        <v>11.5</v>
      </c>
      <c r="G43" s="3">
        <v>11.6</v>
      </c>
      <c r="H43" s="3">
        <v>11.6</v>
      </c>
      <c r="I43" s="3">
        <v>21.7</v>
      </c>
      <c r="J43" s="6">
        <f t="shared" si="5"/>
        <v>0.21354904739411115</v>
      </c>
    </row>
    <row r="44" spans="1:10" x14ac:dyDescent="0.3">
      <c r="A44" s="7" t="s">
        <v>24</v>
      </c>
      <c r="B44" s="8" t="s">
        <v>22</v>
      </c>
      <c r="C44" s="3" t="s">
        <v>25</v>
      </c>
      <c r="D44" s="4">
        <v>39714</v>
      </c>
      <c r="E44" s="3">
        <v>97.5</v>
      </c>
      <c r="F44" s="3">
        <v>97.5</v>
      </c>
      <c r="G44" s="3">
        <v>97.5</v>
      </c>
      <c r="H44" s="3">
        <v>97.5</v>
      </c>
      <c r="I44" s="3">
        <v>178.7</v>
      </c>
      <c r="J44" s="6">
        <f t="shared" ref="J44:J53" si="6">(I44*1000)/(8760*E44)</f>
        <v>0.20922608593841471</v>
      </c>
    </row>
    <row r="45" spans="1:10" x14ac:dyDescent="0.3">
      <c r="A45" s="7" t="s">
        <v>73</v>
      </c>
      <c r="B45" s="8" t="s">
        <v>1</v>
      </c>
      <c r="C45" s="20" t="s">
        <v>74</v>
      </c>
      <c r="D45" s="4">
        <v>39845</v>
      </c>
      <c r="E45" s="20">
        <v>112.5</v>
      </c>
      <c r="F45" s="20">
        <v>112.5</v>
      </c>
      <c r="G45" s="20">
        <v>112.5</v>
      </c>
      <c r="H45" s="20">
        <v>112.5</v>
      </c>
      <c r="I45" s="20">
        <v>261.10000000000002</v>
      </c>
      <c r="J45" s="6">
        <f t="shared" si="6"/>
        <v>0.26494165398274988</v>
      </c>
    </row>
    <row r="46" spans="1:10" x14ac:dyDescent="0.3">
      <c r="A46" s="7" t="s">
        <v>26</v>
      </c>
      <c r="B46" s="8" t="s">
        <v>8</v>
      </c>
      <c r="C46" s="3" t="s">
        <v>27</v>
      </c>
      <c r="D46" s="4">
        <v>39527</v>
      </c>
      <c r="E46" s="3">
        <v>100.5</v>
      </c>
      <c r="F46" s="3">
        <v>100.5</v>
      </c>
      <c r="G46" s="3">
        <v>100.5</v>
      </c>
      <c r="H46" s="3">
        <v>100.5</v>
      </c>
      <c r="I46" s="3">
        <v>190.8</v>
      </c>
      <c r="J46" s="6">
        <f t="shared" si="6"/>
        <v>0.21672459619709672</v>
      </c>
    </row>
    <row r="47" spans="1:10" x14ac:dyDescent="0.3">
      <c r="A47" s="7" t="s">
        <v>28</v>
      </c>
      <c r="B47" s="8" t="s">
        <v>22</v>
      </c>
      <c r="C47" s="3" t="s">
        <v>29</v>
      </c>
      <c r="D47" s="4">
        <v>39728</v>
      </c>
      <c r="E47" s="3">
        <v>106.5</v>
      </c>
      <c r="F47" s="3">
        <v>106.5</v>
      </c>
      <c r="G47" s="3">
        <v>106.5</v>
      </c>
      <c r="H47" s="3">
        <v>106.5</v>
      </c>
      <c r="I47" s="3">
        <v>201.8</v>
      </c>
      <c r="J47" s="6">
        <f t="shared" si="6"/>
        <v>0.21630544300812485</v>
      </c>
    </row>
    <row r="48" spans="1:10" x14ac:dyDescent="0.3">
      <c r="A48" s="7" t="s">
        <v>30</v>
      </c>
      <c r="B48" s="8" t="s">
        <v>22</v>
      </c>
      <c r="C48" s="3" t="s">
        <v>31</v>
      </c>
      <c r="D48" s="4">
        <v>39547</v>
      </c>
      <c r="E48" s="3">
        <v>100.5</v>
      </c>
      <c r="F48" s="3">
        <v>100.5</v>
      </c>
      <c r="G48" s="3">
        <v>100.5</v>
      </c>
      <c r="H48" s="3">
        <v>100.5</v>
      </c>
      <c r="I48" s="3">
        <v>174.4</v>
      </c>
      <c r="J48" s="6">
        <f t="shared" si="6"/>
        <v>0.19809627660782844</v>
      </c>
    </row>
    <row r="49" spans="1:10" x14ac:dyDescent="0.3">
      <c r="A49" s="7" t="s">
        <v>32</v>
      </c>
      <c r="B49" s="8" t="s">
        <v>22</v>
      </c>
      <c r="C49" s="3" t="s">
        <v>23</v>
      </c>
      <c r="D49" s="4">
        <v>39538</v>
      </c>
      <c r="E49" s="3">
        <v>81</v>
      </c>
      <c r="F49" s="3">
        <v>81</v>
      </c>
      <c r="G49" s="3">
        <v>81</v>
      </c>
      <c r="H49" s="3">
        <v>81</v>
      </c>
      <c r="I49" s="3">
        <v>167.9</v>
      </c>
      <c r="J49" s="6">
        <f t="shared" si="6"/>
        <v>0.23662551440329219</v>
      </c>
    </row>
    <row r="50" spans="1:10" x14ac:dyDescent="0.3">
      <c r="A50" s="7" t="s">
        <v>33</v>
      </c>
      <c r="B50" s="8" t="s">
        <v>1</v>
      </c>
      <c r="C50" s="3" t="s">
        <v>34</v>
      </c>
      <c r="D50" s="4">
        <v>39793</v>
      </c>
      <c r="E50" s="3">
        <v>126</v>
      </c>
      <c r="F50" s="3">
        <v>126</v>
      </c>
      <c r="G50" s="3">
        <v>126</v>
      </c>
      <c r="H50" s="3">
        <v>126</v>
      </c>
      <c r="I50" s="3">
        <v>256.5</v>
      </c>
      <c r="J50" s="6">
        <f t="shared" si="6"/>
        <v>0.23238747553816047</v>
      </c>
    </row>
    <row r="51" spans="1:10" x14ac:dyDescent="0.3">
      <c r="A51" s="7" t="s">
        <v>35</v>
      </c>
      <c r="B51" s="8" t="s">
        <v>12</v>
      </c>
      <c r="C51" s="3" t="s">
        <v>36</v>
      </c>
      <c r="D51" s="4">
        <v>39314</v>
      </c>
      <c r="E51" s="3">
        <v>34.5</v>
      </c>
      <c r="F51" s="3">
        <v>34.5</v>
      </c>
      <c r="G51" s="3">
        <v>34.5</v>
      </c>
      <c r="H51" s="3">
        <v>34.5</v>
      </c>
      <c r="I51" s="3">
        <v>87.5</v>
      </c>
      <c r="J51" s="6">
        <f t="shared" si="6"/>
        <v>0.2895241876778506</v>
      </c>
    </row>
    <row r="52" spans="1:10" x14ac:dyDescent="0.3">
      <c r="A52" s="7" t="s">
        <v>37</v>
      </c>
      <c r="B52" s="8" t="s">
        <v>38</v>
      </c>
      <c r="C52" s="3" t="s">
        <v>34</v>
      </c>
      <c r="D52" s="4">
        <v>36800</v>
      </c>
      <c r="E52" s="3">
        <v>6.6</v>
      </c>
      <c r="F52" s="3">
        <v>6.6</v>
      </c>
      <c r="G52" s="3">
        <v>0</v>
      </c>
      <c r="H52" s="3">
        <v>0</v>
      </c>
      <c r="I52" s="3">
        <v>13.4</v>
      </c>
      <c r="J52" s="6">
        <f t="shared" si="6"/>
        <v>0.23176975231769753</v>
      </c>
    </row>
    <row r="53" spans="1:10" x14ac:dyDescent="0.3">
      <c r="A53" s="13" t="s">
        <v>66</v>
      </c>
      <c r="B53" s="3"/>
      <c r="C53" s="3"/>
      <c r="D53" s="3"/>
      <c r="E53" s="3">
        <f>SUM(E37:E52)</f>
        <v>1274</v>
      </c>
      <c r="F53" s="3">
        <f t="shared" ref="F53" si="7">SUM(F37:F52)</f>
        <v>1273.8</v>
      </c>
      <c r="G53" s="3">
        <f t="shared" ref="G53" si="8">SUM(G37:G52)</f>
        <v>1237.4000000000001</v>
      </c>
      <c r="H53" s="3">
        <f t="shared" ref="H53" si="9">SUM(H37:H52)</f>
        <v>1237.4000000000001</v>
      </c>
      <c r="I53" s="3">
        <f t="shared" ref="I53" si="10">SUM(I37:I52)</f>
        <v>2632.9</v>
      </c>
      <c r="J53" s="6">
        <f t="shared" si="6"/>
        <v>0.23591786556561509</v>
      </c>
    </row>
    <row r="54" spans="1:10" x14ac:dyDescent="0.3">
      <c r="A54" s="15"/>
      <c r="B54" s="16"/>
      <c r="C54" s="5"/>
      <c r="D54" s="17"/>
      <c r="E54" s="5"/>
      <c r="F54" s="5"/>
      <c r="G54" s="5"/>
      <c r="H54" s="5"/>
      <c r="I54" s="5"/>
      <c r="J54" s="18"/>
    </row>
    <row r="55" spans="1:10" x14ac:dyDescent="0.3">
      <c r="A55" s="7" t="s">
        <v>10</v>
      </c>
      <c r="B55" s="8" t="s">
        <v>8</v>
      </c>
      <c r="C55" s="3" t="s">
        <v>9</v>
      </c>
      <c r="D55" s="4">
        <v>40940</v>
      </c>
      <c r="E55" s="3">
        <v>15</v>
      </c>
      <c r="F55" s="3">
        <v>0</v>
      </c>
      <c r="G55" s="3">
        <v>0</v>
      </c>
      <c r="H55" s="3">
        <v>0</v>
      </c>
      <c r="I55" s="3">
        <v>0</v>
      </c>
      <c r="J55" s="6">
        <f t="shared" ref="J55:J57" si="11">(I55*1000)/(8760*E55)</f>
        <v>0</v>
      </c>
    </row>
    <row r="56" spans="1:10" x14ac:dyDescent="0.3">
      <c r="A56" s="7" t="s">
        <v>15</v>
      </c>
      <c r="B56" s="8" t="s">
        <v>12</v>
      </c>
      <c r="C56" s="3" t="s">
        <v>16</v>
      </c>
      <c r="D56" s="19">
        <v>40575</v>
      </c>
      <c r="E56" s="3">
        <v>74</v>
      </c>
      <c r="F56" s="3">
        <v>74</v>
      </c>
      <c r="G56" s="3">
        <v>74</v>
      </c>
      <c r="H56" s="3">
        <v>74</v>
      </c>
      <c r="I56" s="3">
        <v>147.69999999999999</v>
      </c>
      <c r="J56" s="6">
        <f t="shared" si="11"/>
        <v>0.22784771072442306</v>
      </c>
    </row>
    <row r="57" spans="1:10" x14ac:dyDescent="0.3">
      <c r="A57" s="7" t="s">
        <v>17</v>
      </c>
      <c r="B57" s="8" t="s">
        <v>1</v>
      </c>
      <c r="C57" s="3" t="s">
        <v>18</v>
      </c>
      <c r="D57" s="19">
        <v>40878</v>
      </c>
      <c r="E57" s="3">
        <v>55.4</v>
      </c>
      <c r="F57" s="3">
        <v>57.4</v>
      </c>
      <c r="G57" s="3">
        <v>55.4</v>
      </c>
      <c r="H57" s="3">
        <v>55.4</v>
      </c>
      <c r="I57" s="3">
        <v>6.5</v>
      </c>
      <c r="J57" s="6">
        <f t="shared" si="11"/>
        <v>1.3393666650182153E-2</v>
      </c>
    </row>
    <row r="58" spans="1:10" x14ac:dyDescent="0.3">
      <c r="A58" s="15"/>
      <c r="B58" s="16"/>
      <c r="C58" s="5"/>
      <c r="D58" s="17"/>
      <c r="E58" s="5"/>
      <c r="F58" s="5"/>
      <c r="G58" s="5"/>
      <c r="H58" s="5"/>
      <c r="I58" s="5"/>
      <c r="J58" s="18"/>
    </row>
    <row r="59" spans="1:10" x14ac:dyDescent="0.3">
      <c r="A59" s="15"/>
      <c r="B59" s="16"/>
      <c r="C59" s="5"/>
      <c r="D59" s="17"/>
      <c r="E59" s="5"/>
      <c r="F59" s="5"/>
      <c r="G59" s="5"/>
      <c r="H59" s="5"/>
      <c r="I59" s="5"/>
      <c r="J59" s="18"/>
    </row>
    <row r="60" spans="1:10" x14ac:dyDescent="0.3">
      <c r="A60" s="15"/>
      <c r="B60" s="16"/>
      <c r="C60" s="5"/>
      <c r="D60" s="17"/>
      <c r="E60" s="5"/>
      <c r="F60" s="5"/>
      <c r="G60" s="5"/>
      <c r="H60" s="5"/>
      <c r="I60" s="5"/>
      <c r="J60" s="18"/>
    </row>
    <row r="61" spans="1:10" x14ac:dyDescent="0.3">
      <c r="A61" s="15"/>
      <c r="B61" s="16"/>
      <c r="C61" s="5"/>
      <c r="D61" s="17"/>
      <c r="E61" s="5"/>
      <c r="F61" s="5"/>
      <c r="G61" s="5"/>
      <c r="H61" s="5"/>
      <c r="I61" s="5"/>
      <c r="J61" s="18"/>
    </row>
    <row r="62" spans="1:10" x14ac:dyDescent="0.3">
      <c r="A62" s="15"/>
      <c r="B62" s="16"/>
      <c r="C62" s="5"/>
      <c r="D62" s="17"/>
      <c r="E62" s="5"/>
      <c r="F62" s="5"/>
      <c r="G62" s="5"/>
      <c r="H62" s="5"/>
      <c r="I62" s="5"/>
      <c r="J62" s="18"/>
    </row>
    <row r="63" spans="1:10" x14ac:dyDescent="0.3">
      <c r="A63" s="15"/>
      <c r="B63" s="16"/>
      <c r="C63" s="5"/>
      <c r="D63" s="17"/>
      <c r="E63" s="5"/>
      <c r="F63" s="5"/>
      <c r="G63" s="5"/>
      <c r="H63" s="5"/>
      <c r="I63" s="5"/>
      <c r="J63" s="18"/>
    </row>
    <row r="64" spans="1:10" x14ac:dyDescent="0.3">
      <c r="A64" s="15"/>
      <c r="B64" s="16"/>
      <c r="C64" s="5"/>
      <c r="D64" s="17"/>
      <c r="E64" s="5"/>
      <c r="F64" s="5"/>
      <c r="G64" s="5"/>
      <c r="H64" s="5"/>
      <c r="I64" s="5"/>
      <c r="J64" s="18"/>
    </row>
    <row r="65" spans="1:10" x14ac:dyDescent="0.3">
      <c r="A65" s="15"/>
      <c r="B65" s="16"/>
      <c r="C65" s="5"/>
      <c r="D65" s="17"/>
      <c r="E65" s="5"/>
      <c r="F65" s="5"/>
      <c r="G65" s="5"/>
      <c r="H65" s="5"/>
      <c r="I65" s="5"/>
      <c r="J65" s="18"/>
    </row>
    <row r="66" spans="1:10" x14ac:dyDescent="0.3">
      <c r="A66" s="15"/>
      <c r="B66" s="16"/>
      <c r="C66" s="5"/>
      <c r="D66" s="17"/>
      <c r="E66" s="5"/>
      <c r="F66" s="5"/>
      <c r="G66" s="5"/>
      <c r="H66" s="5"/>
      <c r="I66" s="5"/>
      <c r="J66" s="18"/>
    </row>
    <row r="67" spans="1:10" x14ac:dyDescent="0.3">
      <c r="A67" s="15"/>
      <c r="B67" s="16"/>
      <c r="C67" s="5"/>
      <c r="D67" s="17"/>
      <c r="E67" s="5"/>
      <c r="F67" s="5"/>
      <c r="G67" s="5"/>
      <c r="H67" s="5"/>
      <c r="I67" s="5"/>
      <c r="J67" s="18"/>
    </row>
    <row r="69" spans="1:10" x14ac:dyDescent="0.3">
      <c r="A69" s="9"/>
      <c r="B69" s="9"/>
      <c r="C69" s="9"/>
      <c r="D69" s="9" t="s">
        <v>45</v>
      </c>
      <c r="E69" s="9" t="s">
        <v>47</v>
      </c>
      <c r="F69" s="9" t="s">
        <v>49</v>
      </c>
      <c r="G69" s="9" t="s">
        <v>68</v>
      </c>
      <c r="H69" s="9"/>
      <c r="I69" s="9" t="s">
        <v>69</v>
      </c>
      <c r="J69" s="10" t="s">
        <v>64</v>
      </c>
    </row>
    <row r="70" spans="1:10" x14ac:dyDescent="0.3">
      <c r="A70" s="11" t="s">
        <v>39</v>
      </c>
      <c r="B70" s="11" t="s">
        <v>40</v>
      </c>
      <c r="C70" s="11" t="s">
        <v>42</v>
      </c>
      <c r="D70" s="11" t="s">
        <v>46</v>
      </c>
      <c r="E70" s="11" t="s">
        <v>48</v>
      </c>
      <c r="F70" s="11" t="s">
        <v>50</v>
      </c>
      <c r="G70" s="11" t="s">
        <v>52</v>
      </c>
      <c r="H70" s="11" t="s">
        <v>53</v>
      </c>
      <c r="I70" s="11" t="s">
        <v>58</v>
      </c>
      <c r="J70" s="12" t="s">
        <v>65</v>
      </c>
    </row>
    <row r="71" spans="1:10" x14ac:dyDescent="0.3">
      <c r="A71" s="7" t="s">
        <v>5</v>
      </c>
      <c r="B71" s="8" t="s">
        <v>1</v>
      </c>
      <c r="C71" s="3" t="s">
        <v>6</v>
      </c>
      <c r="D71" s="4">
        <v>37226</v>
      </c>
      <c r="E71" s="3">
        <v>30</v>
      </c>
      <c r="F71" s="3">
        <v>30</v>
      </c>
      <c r="G71" s="3">
        <v>3</v>
      </c>
      <c r="H71" s="3">
        <v>9</v>
      </c>
      <c r="I71" s="3">
        <v>77.272999999999996</v>
      </c>
      <c r="J71" s="6" t="e">
        <f>(J7-'2006'!J5)/'2006'!J5</f>
        <v>#DIV/0!</v>
      </c>
    </row>
    <row r="72" spans="1:10" x14ac:dyDescent="0.3">
      <c r="A72" s="7" t="s">
        <v>37</v>
      </c>
      <c r="B72" s="8" t="s">
        <v>38</v>
      </c>
      <c r="C72" s="3" t="s">
        <v>34</v>
      </c>
      <c r="D72" s="4">
        <v>36800</v>
      </c>
      <c r="E72" s="3">
        <v>6.6</v>
      </c>
      <c r="F72" s="3">
        <v>6.6</v>
      </c>
      <c r="G72" s="3">
        <v>0.6</v>
      </c>
      <c r="H72" s="3">
        <v>1.9</v>
      </c>
      <c r="I72" s="3">
        <v>14.438000000000001</v>
      </c>
      <c r="J72" s="6" t="e">
        <f>(J25-'2006'!J6)/'2006'!J6</f>
        <v>#DIV/0!</v>
      </c>
    </row>
    <row r="73" spans="1:10" x14ac:dyDescent="0.3">
      <c r="A73" s="7" t="s">
        <v>14</v>
      </c>
      <c r="B73" s="8" t="s">
        <v>12</v>
      </c>
      <c r="C73" s="3" t="s">
        <v>13</v>
      </c>
      <c r="D73" s="4">
        <v>38718</v>
      </c>
      <c r="E73" s="14">
        <v>321</v>
      </c>
      <c r="F73" s="3">
        <v>231</v>
      </c>
      <c r="G73" s="3">
        <v>231</v>
      </c>
      <c r="H73" s="3">
        <v>231</v>
      </c>
      <c r="I73" s="3">
        <v>406.50900000000001</v>
      </c>
      <c r="J73" s="6" t="e">
        <f>(J10-'2006'!J8)/'2006'!J8</f>
        <v>#DIV/0!</v>
      </c>
    </row>
    <row r="74" spans="1:10" x14ac:dyDescent="0.3">
      <c r="A74" s="7" t="s">
        <v>19</v>
      </c>
      <c r="B74" s="8" t="s">
        <v>12</v>
      </c>
      <c r="C74" s="3" t="s">
        <v>20</v>
      </c>
      <c r="D74" s="4">
        <v>36770</v>
      </c>
      <c r="E74" s="3">
        <v>11.6</v>
      </c>
      <c r="F74" s="3">
        <v>11.5</v>
      </c>
      <c r="G74" s="3">
        <v>11.6</v>
      </c>
      <c r="H74" s="3">
        <v>11.6</v>
      </c>
      <c r="I74" s="3">
        <v>20.207000000000001</v>
      </c>
      <c r="J74" s="6" t="e">
        <f>(J14-'2006'!J9)/'2006'!J9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3</vt:i4>
      </vt:variant>
    </vt:vector>
  </HeadingPairs>
  <TitlesOfParts>
    <vt:vector size="26" baseType="lpstr">
      <vt:lpstr>NY projects</vt:lpstr>
      <vt:lpstr>AVERT summary</vt:lpstr>
      <vt:lpstr>Summary</vt:lpstr>
      <vt:lpstr>Post Summary</vt:lpstr>
      <vt:lpstr>GWh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2010</vt:lpstr>
      <vt:lpstr>2009</vt:lpstr>
      <vt:lpstr>2008</vt:lpstr>
      <vt:lpstr>2007</vt:lpstr>
      <vt:lpstr>2006</vt:lpstr>
      <vt:lpstr>2013 Goldbook wind</vt:lpstr>
      <vt:lpstr>NY 2012 Wind</vt:lpstr>
      <vt:lpstr>'2018'!Print_Area</vt:lpstr>
      <vt:lpstr>'Post Summary'!Print_Area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Roger Caiazza</cp:lastModifiedBy>
  <cp:lastPrinted>2022-05-23T19:54:34Z</cp:lastPrinted>
  <dcterms:created xsi:type="dcterms:W3CDTF">2014-02-10T14:03:10Z</dcterms:created>
  <dcterms:modified xsi:type="dcterms:W3CDTF">2022-10-30T00:03:23Z</dcterms:modified>
</cp:coreProperties>
</file>