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ger\Documents\0Climate Act\2 Scoping Plan\Chapter 13 Electricity\"/>
    </mc:Choice>
  </mc:AlternateContent>
  <xr:revisionPtr revIDLastSave="0" documentId="13_ncr:1_{1C5F989B-2BE7-4E0D-ABA6-011FD8F1C63B}" xr6:coauthVersionLast="47" xr6:coauthVersionMax="47" xr10:uidLastSave="{00000000-0000-0000-0000-000000000000}"/>
  <bookViews>
    <workbookView xWindow="-108" yWindow="-108" windowWidth="23256" windowHeight="12576" activeTab="1" xr2:uid="{E400E740-1BB2-413A-A07F-52E58CBA1C94}"/>
  </bookViews>
  <sheets>
    <sheet name="Comparison" sheetId="3" r:id="rId1"/>
    <sheet name="CAC IA" sheetId="6" r:id="rId2"/>
    <sheet name="NYISO" sheetId="1" r:id="rId3"/>
    <sheet name="Integration Analysis" sheetId="2" r:id="rId4"/>
    <sheet name="NREL Table 1" sheetId="5" r:id="rId5"/>
  </sheets>
  <definedNames>
    <definedName name="_xlnm.Print_Area" localSheetId="0">Comparison!$B$2:$V$28</definedName>
    <definedName name="_xlnm.Print_Area" localSheetId="3">'Integration Analysis'!$L$1:$U$55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5" i="6" l="1"/>
  <c r="D5" i="6"/>
  <c r="E5" i="6"/>
  <c r="F5" i="6"/>
  <c r="F33" i="6" s="1"/>
  <c r="C6" i="6"/>
  <c r="D6" i="6"/>
  <c r="E6" i="6"/>
  <c r="F6" i="6"/>
  <c r="F34" i="6" s="1"/>
  <c r="C7" i="6"/>
  <c r="D7" i="6"/>
  <c r="E7" i="6"/>
  <c r="F7" i="6"/>
  <c r="F14" i="6" s="1"/>
  <c r="C8" i="6"/>
  <c r="D8" i="6"/>
  <c r="E8" i="6"/>
  <c r="F8" i="6"/>
  <c r="F36" i="6" s="1"/>
  <c r="C9" i="6"/>
  <c r="D9" i="6"/>
  <c r="E9" i="6"/>
  <c r="F9" i="6"/>
  <c r="F37" i="6" s="1"/>
  <c r="C10" i="6"/>
  <c r="D10" i="6"/>
  <c r="E10" i="6"/>
  <c r="F10" i="6"/>
  <c r="F38" i="6" s="1"/>
  <c r="C11" i="6"/>
  <c r="D11" i="6"/>
  <c r="E11" i="6"/>
  <c r="F11" i="6"/>
  <c r="S11" i="6" s="1"/>
  <c r="C12" i="6"/>
  <c r="D12" i="6"/>
  <c r="E12" i="6"/>
  <c r="F12" i="6"/>
  <c r="AG12" i="6" s="1"/>
  <c r="C14" i="6"/>
  <c r="D14" i="6"/>
  <c r="E14" i="6"/>
  <c r="C19" i="6"/>
  <c r="C33" i="6" s="1"/>
  <c r="D19" i="6"/>
  <c r="E19" i="6"/>
  <c r="F19" i="6"/>
  <c r="C20" i="6"/>
  <c r="R20" i="6" s="1"/>
  <c r="D20" i="6"/>
  <c r="E20" i="6"/>
  <c r="F20" i="6"/>
  <c r="C21" i="6"/>
  <c r="Q21" i="6" s="1"/>
  <c r="D21" i="6"/>
  <c r="E21" i="6"/>
  <c r="F21" i="6"/>
  <c r="C22" i="6"/>
  <c r="Q22" i="6" s="1"/>
  <c r="D22" i="6"/>
  <c r="E22" i="6"/>
  <c r="F22" i="6"/>
  <c r="C23" i="6"/>
  <c r="D23" i="6"/>
  <c r="E23" i="6"/>
  <c r="F23" i="6"/>
  <c r="C24" i="6"/>
  <c r="R24" i="6" s="1"/>
  <c r="D24" i="6"/>
  <c r="E24" i="6"/>
  <c r="F24" i="6"/>
  <c r="C25" i="6"/>
  <c r="Q25" i="6" s="1"/>
  <c r="D25" i="6"/>
  <c r="E25" i="6"/>
  <c r="F25" i="6"/>
  <c r="C26" i="6"/>
  <c r="C28" i="6" s="1"/>
  <c r="D26" i="6"/>
  <c r="E26" i="6"/>
  <c r="F26" i="6"/>
  <c r="AG26" i="6" s="1"/>
  <c r="D28" i="6"/>
  <c r="E28" i="6"/>
  <c r="D33" i="6"/>
  <c r="E33" i="6"/>
  <c r="D34" i="6"/>
  <c r="E34" i="6"/>
  <c r="D35" i="6"/>
  <c r="E35" i="6"/>
  <c r="D36" i="6"/>
  <c r="E36" i="6"/>
  <c r="C37" i="6"/>
  <c r="D37" i="6"/>
  <c r="E37" i="6"/>
  <c r="D38" i="6"/>
  <c r="E38" i="6"/>
  <c r="D39" i="6"/>
  <c r="E39" i="6"/>
  <c r="C40" i="6"/>
  <c r="D40" i="6"/>
  <c r="E40" i="6"/>
  <c r="C41" i="6"/>
  <c r="D41" i="6"/>
  <c r="E41" i="6"/>
  <c r="F41" i="6"/>
  <c r="AE8" i="6"/>
  <c r="AB11" i="6"/>
  <c r="AE11" i="6"/>
  <c r="AA20" i="6"/>
  <c r="AD21" i="6"/>
  <c r="Z22" i="6"/>
  <c r="AA24" i="6"/>
  <c r="AB25" i="6"/>
  <c r="J41" i="6"/>
  <c r="I41" i="6"/>
  <c r="H41" i="6"/>
  <c r="G41" i="6"/>
  <c r="N27" i="6"/>
  <c r="M27" i="6"/>
  <c r="L27" i="6"/>
  <c r="K27" i="6"/>
  <c r="N26" i="6"/>
  <c r="M26" i="6"/>
  <c r="L26" i="6"/>
  <c r="K26" i="6"/>
  <c r="J26" i="6"/>
  <c r="I26" i="6"/>
  <c r="H26" i="6"/>
  <c r="G26" i="6"/>
  <c r="AC25" i="6"/>
  <c r="N25" i="6"/>
  <c r="M25" i="6"/>
  <c r="L25" i="6"/>
  <c r="K25" i="6"/>
  <c r="J25" i="6"/>
  <c r="I25" i="6"/>
  <c r="H25" i="6"/>
  <c r="G25" i="6"/>
  <c r="R25" i="6"/>
  <c r="N24" i="6"/>
  <c r="M24" i="6"/>
  <c r="L24" i="6"/>
  <c r="K24" i="6"/>
  <c r="J24" i="6"/>
  <c r="I24" i="6"/>
  <c r="H24" i="6"/>
  <c r="G24" i="6"/>
  <c r="N23" i="6"/>
  <c r="M23" i="6"/>
  <c r="L23" i="6"/>
  <c r="K23" i="6"/>
  <c r="J23" i="6"/>
  <c r="I23" i="6"/>
  <c r="H23" i="6"/>
  <c r="G23" i="6"/>
  <c r="R22" i="6"/>
  <c r="AD22" i="6"/>
  <c r="N22" i="6"/>
  <c r="M22" i="6"/>
  <c r="X22" i="6" s="1"/>
  <c r="L22" i="6"/>
  <c r="K22" i="6"/>
  <c r="J22" i="6"/>
  <c r="I22" i="6"/>
  <c r="U22" i="6" s="1"/>
  <c r="H22" i="6"/>
  <c r="T22" i="6" s="1"/>
  <c r="G22" i="6"/>
  <c r="N21" i="6"/>
  <c r="M21" i="6"/>
  <c r="L21" i="6"/>
  <c r="K21" i="6"/>
  <c r="J21" i="6"/>
  <c r="I21" i="6"/>
  <c r="H21" i="6"/>
  <c r="G21" i="6"/>
  <c r="R21" i="6"/>
  <c r="AD20" i="6"/>
  <c r="N20" i="6"/>
  <c r="M20" i="6"/>
  <c r="L20" i="6"/>
  <c r="K20" i="6"/>
  <c r="J20" i="6"/>
  <c r="I20" i="6"/>
  <c r="H20" i="6"/>
  <c r="G20" i="6"/>
  <c r="Q20" i="6"/>
  <c r="N19" i="6"/>
  <c r="M19" i="6"/>
  <c r="L19" i="6"/>
  <c r="K19" i="6"/>
  <c r="J19" i="6"/>
  <c r="I19" i="6"/>
  <c r="H19" i="6"/>
  <c r="G19" i="6"/>
  <c r="N13" i="6"/>
  <c r="N41" i="6" s="1"/>
  <c r="M13" i="6"/>
  <c r="L13" i="6"/>
  <c r="L41" i="6" s="1"/>
  <c r="K13" i="6"/>
  <c r="N12" i="6"/>
  <c r="M12" i="6"/>
  <c r="M40" i="6" s="1"/>
  <c r="L12" i="6"/>
  <c r="L40" i="6" s="1"/>
  <c r="K12" i="6"/>
  <c r="K40" i="6" s="1"/>
  <c r="J12" i="6"/>
  <c r="I12" i="6"/>
  <c r="H12" i="6"/>
  <c r="H40" i="6" s="1"/>
  <c r="G12" i="6"/>
  <c r="G40" i="6" s="1"/>
  <c r="N11" i="6"/>
  <c r="M11" i="6"/>
  <c r="L11" i="6"/>
  <c r="L39" i="6" s="1"/>
  <c r="K11" i="6"/>
  <c r="J11" i="6"/>
  <c r="I11" i="6"/>
  <c r="I39" i="6" s="1"/>
  <c r="H11" i="6"/>
  <c r="G11" i="6"/>
  <c r="N10" i="6"/>
  <c r="N38" i="6" s="1"/>
  <c r="M10" i="6"/>
  <c r="X10" i="6" s="1"/>
  <c r="L10" i="6"/>
  <c r="K10" i="6"/>
  <c r="J10" i="6"/>
  <c r="I10" i="6"/>
  <c r="H10" i="6"/>
  <c r="G10" i="6"/>
  <c r="G38" i="6" s="1"/>
  <c r="N9" i="6"/>
  <c r="M9" i="6"/>
  <c r="L9" i="6"/>
  <c r="K9" i="6"/>
  <c r="K37" i="6" s="1"/>
  <c r="J9" i="6"/>
  <c r="I9" i="6"/>
  <c r="H9" i="6"/>
  <c r="G9" i="6"/>
  <c r="G37" i="6" s="1"/>
  <c r="N8" i="6"/>
  <c r="M8" i="6"/>
  <c r="M36" i="6" s="1"/>
  <c r="L8" i="6"/>
  <c r="L36" i="6" s="1"/>
  <c r="K8" i="6"/>
  <c r="K36" i="6" s="1"/>
  <c r="J8" i="6"/>
  <c r="I8" i="6"/>
  <c r="H8" i="6"/>
  <c r="H36" i="6" s="1"/>
  <c r="G8" i="6"/>
  <c r="G36" i="6" s="1"/>
  <c r="N7" i="6"/>
  <c r="M7" i="6"/>
  <c r="L7" i="6"/>
  <c r="K7" i="6"/>
  <c r="K35" i="6" s="1"/>
  <c r="J7" i="6"/>
  <c r="I7" i="6"/>
  <c r="H7" i="6"/>
  <c r="G7" i="6"/>
  <c r="G35" i="6" s="1"/>
  <c r="N6" i="6"/>
  <c r="N34" i="6" s="1"/>
  <c r="M6" i="6"/>
  <c r="L6" i="6"/>
  <c r="K6" i="6"/>
  <c r="K34" i="6" s="1"/>
  <c r="J6" i="6"/>
  <c r="J34" i="6" s="1"/>
  <c r="I6" i="6"/>
  <c r="H6" i="6"/>
  <c r="G6" i="6"/>
  <c r="G34" i="6" s="1"/>
  <c r="R5" i="6"/>
  <c r="AD5" i="6"/>
  <c r="N5" i="6"/>
  <c r="N33" i="6" s="1"/>
  <c r="M5" i="6"/>
  <c r="L5" i="6"/>
  <c r="K5" i="6"/>
  <c r="J5" i="6"/>
  <c r="I5" i="6"/>
  <c r="H5" i="6"/>
  <c r="G5" i="6"/>
  <c r="AT14" i="3"/>
  <c r="AT28" i="3"/>
  <c r="AP12" i="3"/>
  <c r="AO12" i="3"/>
  <c r="AQ12" i="3" s="1"/>
  <c r="AR12" i="3" s="1"/>
  <c r="AP26" i="3"/>
  <c r="AO26" i="3"/>
  <c r="AQ26" i="3" s="1"/>
  <c r="AR26" i="3" s="1"/>
  <c r="AP24" i="3"/>
  <c r="AO24" i="3"/>
  <c r="AQ24" i="3" s="1"/>
  <c r="AR24" i="3" s="1"/>
  <c r="AQ10" i="3"/>
  <c r="AR10" i="3" s="1"/>
  <c r="AO10" i="3"/>
  <c r="AP10" i="3"/>
  <c r="D33" i="3"/>
  <c r="E33" i="3"/>
  <c r="F33" i="3"/>
  <c r="G33" i="3"/>
  <c r="H33" i="3"/>
  <c r="I33" i="3"/>
  <c r="J33" i="3"/>
  <c r="K33" i="3"/>
  <c r="L33" i="3"/>
  <c r="M33" i="3"/>
  <c r="N33" i="3"/>
  <c r="O33" i="3"/>
  <c r="P33" i="3"/>
  <c r="Q33" i="3"/>
  <c r="R33" i="3"/>
  <c r="S33" i="3"/>
  <c r="T33" i="3"/>
  <c r="U33" i="3"/>
  <c r="V33" i="3"/>
  <c r="D34" i="3"/>
  <c r="E34" i="3"/>
  <c r="F34" i="3"/>
  <c r="G34" i="3"/>
  <c r="H34" i="3"/>
  <c r="I34" i="3"/>
  <c r="J34" i="3"/>
  <c r="K34" i="3"/>
  <c r="L34" i="3"/>
  <c r="M34" i="3"/>
  <c r="N34" i="3"/>
  <c r="O34" i="3"/>
  <c r="P34" i="3"/>
  <c r="Q34" i="3"/>
  <c r="R34" i="3"/>
  <c r="S34" i="3"/>
  <c r="T34" i="3"/>
  <c r="U34" i="3"/>
  <c r="V34" i="3"/>
  <c r="D35" i="3"/>
  <c r="E35" i="3"/>
  <c r="F35" i="3"/>
  <c r="G35" i="3"/>
  <c r="H35" i="3"/>
  <c r="I35" i="3"/>
  <c r="J35" i="3"/>
  <c r="K35" i="3"/>
  <c r="L35" i="3"/>
  <c r="M35" i="3"/>
  <c r="N35" i="3"/>
  <c r="O35" i="3"/>
  <c r="P35" i="3"/>
  <c r="Q35" i="3"/>
  <c r="R35" i="3"/>
  <c r="S35" i="3"/>
  <c r="T35" i="3"/>
  <c r="U35" i="3"/>
  <c r="V35" i="3"/>
  <c r="D36" i="3"/>
  <c r="E36" i="3"/>
  <c r="F36" i="3"/>
  <c r="G36" i="3"/>
  <c r="H36" i="3"/>
  <c r="I36" i="3"/>
  <c r="J36" i="3"/>
  <c r="K36" i="3"/>
  <c r="L36" i="3"/>
  <c r="M36" i="3"/>
  <c r="N36" i="3"/>
  <c r="O36" i="3"/>
  <c r="P36" i="3"/>
  <c r="Q36" i="3"/>
  <c r="R36" i="3"/>
  <c r="S36" i="3"/>
  <c r="T36" i="3"/>
  <c r="U36" i="3"/>
  <c r="V36" i="3"/>
  <c r="D37" i="3"/>
  <c r="E37" i="3"/>
  <c r="F37" i="3"/>
  <c r="G37" i="3"/>
  <c r="H37" i="3"/>
  <c r="I37" i="3"/>
  <c r="J37" i="3"/>
  <c r="K37" i="3"/>
  <c r="L37" i="3"/>
  <c r="M37" i="3"/>
  <c r="N37" i="3"/>
  <c r="O37" i="3"/>
  <c r="P37" i="3"/>
  <c r="Q37" i="3"/>
  <c r="R37" i="3"/>
  <c r="S37" i="3"/>
  <c r="T37" i="3"/>
  <c r="U37" i="3"/>
  <c r="V37" i="3"/>
  <c r="D38" i="3"/>
  <c r="E38" i="3"/>
  <c r="F38" i="3"/>
  <c r="G38" i="3"/>
  <c r="H38" i="3"/>
  <c r="I38" i="3"/>
  <c r="J38" i="3"/>
  <c r="K38" i="3"/>
  <c r="L38" i="3"/>
  <c r="M38" i="3"/>
  <c r="N38" i="3"/>
  <c r="O38" i="3"/>
  <c r="P38" i="3"/>
  <c r="Q38" i="3"/>
  <c r="R38" i="3"/>
  <c r="S38" i="3"/>
  <c r="T38" i="3"/>
  <c r="U38" i="3"/>
  <c r="V38" i="3"/>
  <c r="D39" i="3"/>
  <c r="E39" i="3"/>
  <c r="F39" i="3"/>
  <c r="G39" i="3"/>
  <c r="H39" i="3"/>
  <c r="I39" i="3"/>
  <c r="J39" i="3"/>
  <c r="K39" i="3"/>
  <c r="L39" i="3"/>
  <c r="M39" i="3"/>
  <c r="N39" i="3"/>
  <c r="O39" i="3"/>
  <c r="P39" i="3"/>
  <c r="Q39" i="3"/>
  <c r="R39" i="3"/>
  <c r="S39" i="3"/>
  <c r="T39" i="3"/>
  <c r="U39" i="3"/>
  <c r="V39" i="3"/>
  <c r="D40" i="3"/>
  <c r="E40" i="3"/>
  <c r="F40" i="3"/>
  <c r="G40" i="3"/>
  <c r="H40" i="3"/>
  <c r="I40" i="3"/>
  <c r="J40" i="3"/>
  <c r="K40" i="3"/>
  <c r="L40" i="3"/>
  <c r="M40" i="3"/>
  <c r="N40" i="3"/>
  <c r="O40" i="3"/>
  <c r="P40" i="3"/>
  <c r="Q40" i="3"/>
  <c r="R40" i="3"/>
  <c r="S40" i="3"/>
  <c r="T40" i="3"/>
  <c r="U40" i="3"/>
  <c r="V40" i="3"/>
  <c r="D41" i="3"/>
  <c r="E41" i="3"/>
  <c r="F41" i="3"/>
  <c r="G41" i="3"/>
  <c r="H41" i="3"/>
  <c r="I41" i="3"/>
  <c r="J41" i="3"/>
  <c r="K41" i="3"/>
  <c r="L41" i="3"/>
  <c r="M41" i="3"/>
  <c r="N41" i="3"/>
  <c r="O41" i="3"/>
  <c r="P41" i="3"/>
  <c r="Q41" i="3"/>
  <c r="R41" i="3"/>
  <c r="S41" i="3"/>
  <c r="T41" i="3"/>
  <c r="U41" i="3"/>
  <c r="V41" i="3"/>
  <c r="C34" i="3"/>
  <c r="C35" i="3"/>
  <c r="C36" i="3"/>
  <c r="C37" i="3"/>
  <c r="C38" i="3"/>
  <c r="C39" i="3"/>
  <c r="C40" i="3"/>
  <c r="C41" i="3"/>
  <c r="C33" i="3"/>
  <c r="AO23" i="3"/>
  <c r="AO9" i="3"/>
  <c r="V27" i="3"/>
  <c r="U27" i="3"/>
  <c r="T27" i="3"/>
  <c r="S27" i="3"/>
  <c r="V25" i="3"/>
  <c r="U25" i="3"/>
  <c r="T25" i="3"/>
  <c r="S25" i="3"/>
  <c r="V24" i="3"/>
  <c r="U24" i="3"/>
  <c r="T24" i="3"/>
  <c r="S24" i="3"/>
  <c r="V23" i="3"/>
  <c r="U23" i="3"/>
  <c r="T23" i="3"/>
  <c r="S23" i="3"/>
  <c r="V22" i="3"/>
  <c r="U22" i="3"/>
  <c r="T22" i="3"/>
  <c r="S22" i="3"/>
  <c r="V21" i="3"/>
  <c r="U21" i="3"/>
  <c r="T21" i="3"/>
  <c r="S21" i="3"/>
  <c r="V26" i="3"/>
  <c r="U26" i="3"/>
  <c r="T26" i="3"/>
  <c r="S26" i="3"/>
  <c r="V20" i="3"/>
  <c r="U20" i="3"/>
  <c r="T20" i="3"/>
  <c r="S20" i="3"/>
  <c r="V19" i="3"/>
  <c r="V28" i="3" s="1"/>
  <c r="U19" i="3"/>
  <c r="T19" i="3"/>
  <c r="T28" i="3" s="1"/>
  <c r="S19" i="3"/>
  <c r="R27" i="3"/>
  <c r="Q27" i="3"/>
  <c r="P27" i="3"/>
  <c r="O27" i="3"/>
  <c r="R25" i="3"/>
  <c r="Q25" i="3"/>
  <c r="P25" i="3"/>
  <c r="O25" i="3"/>
  <c r="R24" i="3"/>
  <c r="Q24" i="3"/>
  <c r="P24" i="3"/>
  <c r="O24" i="3"/>
  <c r="R23" i="3"/>
  <c r="Q23" i="3"/>
  <c r="P23" i="3"/>
  <c r="O23" i="3"/>
  <c r="R22" i="3"/>
  <c r="Q22" i="3"/>
  <c r="P22" i="3"/>
  <c r="O22" i="3"/>
  <c r="R21" i="3"/>
  <c r="Q21" i="3"/>
  <c r="P21" i="3"/>
  <c r="O21" i="3"/>
  <c r="R26" i="3"/>
  <c r="Q26" i="3"/>
  <c r="P26" i="3"/>
  <c r="O26" i="3"/>
  <c r="R20" i="3"/>
  <c r="Q20" i="3"/>
  <c r="P20" i="3"/>
  <c r="O20" i="3"/>
  <c r="R19" i="3"/>
  <c r="R28" i="3" s="1"/>
  <c r="Q19" i="3"/>
  <c r="Q28" i="3" s="1"/>
  <c r="P19" i="3"/>
  <c r="O19" i="3"/>
  <c r="M19" i="3"/>
  <c r="N19" i="3"/>
  <c r="M20" i="3"/>
  <c r="N20" i="3"/>
  <c r="M26" i="3"/>
  <c r="N26" i="3"/>
  <c r="M21" i="3"/>
  <c r="N21" i="3"/>
  <c r="M22" i="3"/>
  <c r="N22" i="3"/>
  <c r="AP22" i="3" s="1"/>
  <c r="M23" i="3"/>
  <c r="N23" i="3"/>
  <c r="AP23" i="3" s="1"/>
  <c r="M24" i="3"/>
  <c r="N24" i="3"/>
  <c r="M25" i="3"/>
  <c r="N25" i="3"/>
  <c r="M27" i="3"/>
  <c r="N27" i="3"/>
  <c r="L19" i="3"/>
  <c r="L20" i="3"/>
  <c r="L26" i="3"/>
  <c r="L21" i="3"/>
  <c r="L22" i="3"/>
  <c r="L23" i="3"/>
  <c r="L24" i="3"/>
  <c r="L25" i="3"/>
  <c r="L27" i="3"/>
  <c r="K27" i="3"/>
  <c r="K25" i="3"/>
  <c r="K24" i="3"/>
  <c r="K23" i="3"/>
  <c r="K22" i="3"/>
  <c r="K21" i="3"/>
  <c r="K20" i="3"/>
  <c r="K26" i="3"/>
  <c r="K19" i="3"/>
  <c r="V13" i="3"/>
  <c r="U13" i="3"/>
  <c r="T13" i="3"/>
  <c r="S13" i="3"/>
  <c r="V11" i="3"/>
  <c r="U11" i="3"/>
  <c r="T11" i="3"/>
  <c r="S11" i="3"/>
  <c r="V10" i="3"/>
  <c r="U10" i="3"/>
  <c r="T10" i="3"/>
  <c r="S10" i="3"/>
  <c r="V9" i="3"/>
  <c r="U9" i="3"/>
  <c r="T9" i="3"/>
  <c r="S9" i="3"/>
  <c r="V8" i="3"/>
  <c r="U8" i="3"/>
  <c r="T8" i="3"/>
  <c r="S8" i="3"/>
  <c r="V7" i="3"/>
  <c r="U7" i="3"/>
  <c r="T7" i="3"/>
  <c r="S7" i="3"/>
  <c r="V12" i="3"/>
  <c r="U12" i="3"/>
  <c r="T12" i="3"/>
  <c r="S12" i="3"/>
  <c r="V6" i="3"/>
  <c r="U6" i="3"/>
  <c r="T6" i="3"/>
  <c r="S6" i="3"/>
  <c r="V5" i="3"/>
  <c r="V14" i="3" s="1"/>
  <c r="U5" i="3"/>
  <c r="U14" i="3" s="1"/>
  <c r="T5" i="3"/>
  <c r="S5" i="3"/>
  <c r="S14" i="3" s="1"/>
  <c r="R13" i="3"/>
  <c r="Q13" i="3"/>
  <c r="P13" i="3"/>
  <c r="O13" i="3"/>
  <c r="R11" i="3"/>
  <c r="Q11" i="3"/>
  <c r="P11" i="3"/>
  <c r="O11" i="3"/>
  <c r="R10" i="3"/>
  <c r="Q10" i="3"/>
  <c r="P10" i="3"/>
  <c r="O10" i="3"/>
  <c r="R9" i="3"/>
  <c r="Q9" i="3"/>
  <c r="P9" i="3"/>
  <c r="O9" i="3"/>
  <c r="R8" i="3"/>
  <c r="Q8" i="3"/>
  <c r="P8" i="3"/>
  <c r="O8" i="3"/>
  <c r="R7" i="3"/>
  <c r="Q7" i="3"/>
  <c r="P7" i="3"/>
  <c r="O7" i="3"/>
  <c r="R12" i="3"/>
  <c r="Q12" i="3"/>
  <c r="P12" i="3"/>
  <c r="O12" i="3"/>
  <c r="R6" i="3"/>
  <c r="Q6" i="3"/>
  <c r="P6" i="3"/>
  <c r="O6" i="3"/>
  <c r="R5" i="3"/>
  <c r="R14" i="3" s="1"/>
  <c r="Q5" i="3"/>
  <c r="Q14" i="3" s="1"/>
  <c r="P5" i="3"/>
  <c r="P14" i="3" s="1"/>
  <c r="O5" i="3"/>
  <c r="M5" i="3"/>
  <c r="N5" i="3"/>
  <c r="M6" i="3"/>
  <c r="N6" i="3"/>
  <c r="M12" i="3"/>
  <c r="N12" i="3"/>
  <c r="M7" i="3"/>
  <c r="N7" i="3"/>
  <c r="M8" i="3"/>
  <c r="N8" i="3"/>
  <c r="AP8" i="3" s="1"/>
  <c r="M9" i="3"/>
  <c r="N9" i="3"/>
  <c r="AP9" i="3" s="1"/>
  <c r="M10" i="3"/>
  <c r="N10" i="3"/>
  <c r="M11" i="3"/>
  <c r="N11" i="3"/>
  <c r="M13" i="3"/>
  <c r="N13" i="3"/>
  <c r="L5" i="3"/>
  <c r="L6" i="3"/>
  <c r="L12" i="3"/>
  <c r="L7" i="3"/>
  <c r="L8" i="3"/>
  <c r="L9" i="3"/>
  <c r="L10" i="3"/>
  <c r="L11" i="3"/>
  <c r="L13" i="3"/>
  <c r="K13" i="3"/>
  <c r="K11" i="3"/>
  <c r="K10" i="3"/>
  <c r="K9" i="3"/>
  <c r="K8" i="3"/>
  <c r="K7" i="3"/>
  <c r="K12" i="3"/>
  <c r="K6" i="3"/>
  <c r="K5" i="3"/>
  <c r="I19" i="3"/>
  <c r="J19" i="3"/>
  <c r="I20" i="3"/>
  <c r="J20" i="3"/>
  <c r="I26" i="3"/>
  <c r="J26" i="3"/>
  <c r="I21" i="3"/>
  <c r="J21" i="3"/>
  <c r="I22" i="3"/>
  <c r="J22" i="3"/>
  <c r="I23" i="3"/>
  <c r="J23" i="3"/>
  <c r="I24" i="3"/>
  <c r="J24" i="3"/>
  <c r="I25" i="3"/>
  <c r="J25" i="3"/>
  <c r="H19" i="3"/>
  <c r="H20" i="3"/>
  <c r="H26" i="3"/>
  <c r="H21" i="3"/>
  <c r="H22" i="3"/>
  <c r="H23" i="3"/>
  <c r="H24" i="3"/>
  <c r="H25" i="3"/>
  <c r="G25" i="3"/>
  <c r="G24" i="3"/>
  <c r="G22" i="3"/>
  <c r="G23" i="3"/>
  <c r="G21" i="3"/>
  <c r="G26" i="3"/>
  <c r="G20" i="3"/>
  <c r="G19" i="3"/>
  <c r="E19" i="3"/>
  <c r="F19" i="3"/>
  <c r="E20" i="3"/>
  <c r="F20" i="3"/>
  <c r="E26" i="3"/>
  <c r="F26" i="3"/>
  <c r="E21" i="3"/>
  <c r="F21" i="3"/>
  <c r="E22" i="3"/>
  <c r="F22" i="3"/>
  <c r="AO22" i="3" s="1"/>
  <c r="AQ22" i="3" s="1"/>
  <c r="AR22" i="3" s="1"/>
  <c r="E23" i="3"/>
  <c r="F23" i="3"/>
  <c r="E24" i="3"/>
  <c r="F24" i="3"/>
  <c r="E25" i="3"/>
  <c r="F25" i="3"/>
  <c r="D19" i="3"/>
  <c r="D20" i="3"/>
  <c r="D26" i="3"/>
  <c r="D21" i="3"/>
  <c r="D22" i="3"/>
  <c r="D23" i="3"/>
  <c r="D24" i="3"/>
  <c r="D25" i="3"/>
  <c r="C25" i="3"/>
  <c r="C24" i="3"/>
  <c r="C22" i="3"/>
  <c r="C23" i="3"/>
  <c r="C21" i="3"/>
  <c r="C26" i="3"/>
  <c r="C20" i="3"/>
  <c r="C19" i="3"/>
  <c r="I5" i="3"/>
  <c r="J5" i="3"/>
  <c r="I6" i="3"/>
  <c r="J6" i="3"/>
  <c r="I12" i="3"/>
  <c r="J12" i="3"/>
  <c r="I7" i="3"/>
  <c r="J7" i="3"/>
  <c r="I8" i="3"/>
  <c r="J8" i="3"/>
  <c r="I9" i="3"/>
  <c r="J9" i="3"/>
  <c r="I10" i="3"/>
  <c r="J10" i="3"/>
  <c r="I11" i="3"/>
  <c r="J11" i="3"/>
  <c r="H5" i="3"/>
  <c r="H6" i="3"/>
  <c r="H12" i="3"/>
  <c r="H7" i="3"/>
  <c r="H8" i="3"/>
  <c r="H9" i="3"/>
  <c r="H10" i="3"/>
  <c r="H11" i="3"/>
  <c r="G11" i="3"/>
  <c r="G10" i="3"/>
  <c r="G8" i="3"/>
  <c r="G9" i="3"/>
  <c r="G7" i="3"/>
  <c r="G12" i="3"/>
  <c r="G6" i="3"/>
  <c r="G5" i="3"/>
  <c r="E5" i="3"/>
  <c r="F5" i="3"/>
  <c r="E6" i="3"/>
  <c r="F6" i="3"/>
  <c r="E12" i="3"/>
  <c r="F12" i="3"/>
  <c r="E7" i="3"/>
  <c r="F7" i="3"/>
  <c r="E8" i="3"/>
  <c r="F8" i="3"/>
  <c r="AO8" i="3" s="1"/>
  <c r="AQ8" i="3" s="1"/>
  <c r="AR8" i="3" s="1"/>
  <c r="E9" i="3"/>
  <c r="F9" i="3"/>
  <c r="E10" i="3"/>
  <c r="F10" i="3"/>
  <c r="E11" i="3"/>
  <c r="F11" i="3"/>
  <c r="D5" i="3"/>
  <c r="D6" i="3"/>
  <c r="D12" i="3"/>
  <c r="D7" i="3"/>
  <c r="D8" i="3"/>
  <c r="D9" i="3"/>
  <c r="D10" i="3"/>
  <c r="D11" i="3"/>
  <c r="C11" i="3"/>
  <c r="C10" i="3"/>
  <c r="C8" i="3"/>
  <c r="C9" i="3"/>
  <c r="C7" i="3"/>
  <c r="C12" i="3"/>
  <c r="C6" i="3"/>
  <c r="C5" i="3"/>
  <c r="S21" i="6" l="1"/>
  <c r="Q24" i="6"/>
  <c r="C39" i="6"/>
  <c r="C38" i="6"/>
  <c r="C36" i="6"/>
  <c r="C35" i="6"/>
  <c r="C34" i="6"/>
  <c r="S25" i="6"/>
  <c r="S24" i="6"/>
  <c r="AG23" i="6"/>
  <c r="S22" i="6"/>
  <c r="S20" i="6"/>
  <c r="J37" i="6"/>
  <c r="J39" i="6"/>
  <c r="M41" i="6"/>
  <c r="V22" i="6"/>
  <c r="V24" i="6"/>
  <c r="F40" i="6"/>
  <c r="F39" i="6"/>
  <c r="F35" i="6"/>
  <c r="F28" i="6"/>
  <c r="I33" i="6"/>
  <c r="M33" i="6"/>
  <c r="AB6" i="6"/>
  <c r="J35" i="6"/>
  <c r="N35" i="6"/>
  <c r="J40" i="6"/>
  <c r="AA21" i="6"/>
  <c r="AG24" i="6"/>
  <c r="AH26" i="6"/>
  <c r="AE24" i="6"/>
  <c r="AB22" i="6"/>
  <c r="AE21" i="6"/>
  <c r="AB20" i="6"/>
  <c r="L34" i="6"/>
  <c r="S7" i="6"/>
  <c r="T21" i="6"/>
  <c r="AC21" i="6"/>
  <c r="Y24" i="6"/>
  <c r="X20" i="6"/>
  <c r="X21" i="6"/>
  <c r="T25" i="6"/>
  <c r="AH22" i="6"/>
  <c r="AH23" i="6"/>
  <c r="AI23" i="6" s="1"/>
  <c r="AJ23" i="6" s="1"/>
  <c r="AH24" i="6"/>
  <c r="AI24" i="6" s="1"/>
  <c r="AJ24" i="6" s="1"/>
  <c r="Y21" i="6"/>
  <c r="I37" i="6"/>
  <c r="M37" i="6"/>
  <c r="I40" i="6"/>
  <c r="W20" i="6"/>
  <c r="L35" i="6"/>
  <c r="Y11" i="6"/>
  <c r="H33" i="6"/>
  <c r="G39" i="6"/>
  <c r="K39" i="6"/>
  <c r="K41" i="6"/>
  <c r="U19" i="6"/>
  <c r="W21" i="6"/>
  <c r="X5" i="6"/>
  <c r="W6" i="6"/>
  <c r="V7" i="6"/>
  <c r="T8" i="6"/>
  <c r="U20" i="6"/>
  <c r="Z21" i="6"/>
  <c r="W22" i="6"/>
  <c r="AC22" i="6"/>
  <c r="T24" i="6"/>
  <c r="W24" i="6"/>
  <c r="Z24" i="6"/>
  <c r="AC24" i="6"/>
  <c r="AB5" i="6"/>
  <c r="Y5" i="6"/>
  <c r="Z6" i="6"/>
  <c r="W7" i="6"/>
  <c r="W8" i="6"/>
  <c r="V20" i="6"/>
  <c r="Y20" i="6"/>
  <c r="AE20" i="6"/>
  <c r="U21" i="6"/>
  <c r="AA22" i="6"/>
  <c r="U24" i="6"/>
  <c r="X24" i="6"/>
  <c r="AD24" i="6"/>
  <c r="W25" i="6"/>
  <c r="Z25" i="6"/>
  <c r="AE6" i="6"/>
  <c r="Z7" i="6"/>
  <c r="Z11" i="6"/>
  <c r="AE22" i="6"/>
  <c r="AB24" i="6"/>
  <c r="U25" i="6"/>
  <c r="X25" i="6"/>
  <c r="AA25" i="6"/>
  <c r="AD25" i="6"/>
  <c r="AI26" i="6"/>
  <c r="AJ26" i="6" s="1"/>
  <c r="U5" i="6"/>
  <c r="V6" i="6"/>
  <c r="AE7" i="6"/>
  <c r="T20" i="6"/>
  <c r="Z20" i="6"/>
  <c r="AC20" i="6"/>
  <c r="AB21" i="6"/>
  <c r="Y22" i="6"/>
  <c r="V25" i="6"/>
  <c r="Y25" i="6"/>
  <c r="AE25" i="6"/>
  <c r="L33" i="6"/>
  <c r="L14" i="6"/>
  <c r="W5" i="6"/>
  <c r="AC5" i="6"/>
  <c r="I34" i="6"/>
  <c r="U6" i="6"/>
  <c r="AG6" i="6"/>
  <c r="M34" i="6"/>
  <c r="X6" i="6"/>
  <c r="AD6" i="6"/>
  <c r="I35" i="6"/>
  <c r="U7" i="6"/>
  <c r="M35" i="6"/>
  <c r="X7" i="6"/>
  <c r="AD7" i="6"/>
  <c r="R8" i="6"/>
  <c r="I36" i="6"/>
  <c r="U8" i="6"/>
  <c r="AD8" i="6"/>
  <c r="AG10" i="6"/>
  <c r="S10" i="6"/>
  <c r="J38" i="6"/>
  <c r="V10" i="6"/>
  <c r="AE10" i="6"/>
  <c r="AH10" i="6"/>
  <c r="R11" i="6"/>
  <c r="M39" i="6"/>
  <c r="X11" i="6"/>
  <c r="AA11" i="6"/>
  <c r="M14" i="6"/>
  <c r="S19" i="6"/>
  <c r="R19" i="6"/>
  <c r="Y19" i="6"/>
  <c r="K28" i="6"/>
  <c r="AE19" i="6"/>
  <c r="Q19" i="6"/>
  <c r="T5" i="6"/>
  <c r="V8" i="6"/>
  <c r="J36" i="6"/>
  <c r="N36" i="6"/>
  <c r="AH8" i="6"/>
  <c r="Y8" i="6"/>
  <c r="X8" i="6"/>
  <c r="AG8" i="6"/>
  <c r="K38" i="6"/>
  <c r="W10" i="6"/>
  <c r="Q10" i="6"/>
  <c r="Y10" i="6"/>
  <c r="N14" i="6"/>
  <c r="H28" i="6"/>
  <c r="T19" i="6"/>
  <c r="L28" i="6"/>
  <c r="W19" i="6"/>
  <c r="Z19" i="6"/>
  <c r="V19" i="6"/>
  <c r="S5" i="6"/>
  <c r="J33" i="6"/>
  <c r="J14" i="6"/>
  <c r="AE5" i="6"/>
  <c r="Z5" i="6"/>
  <c r="R6" i="6"/>
  <c r="R7" i="6"/>
  <c r="S8" i="6"/>
  <c r="AA8" i="6"/>
  <c r="N37" i="6"/>
  <c r="AH9" i="6"/>
  <c r="T10" i="6"/>
  <c r="AB10" i="6"/>
  <c r="AD11" i="6"/>
  <c r="H14" i="6"/>
  <c r="AA19" i="6"/>
  <c r="G33" i="6"/>
  <c r="G14" i="6"/>
  <c r="K33" i="6"/>
  <c r="K14" i="6"/>
  <c r="Q5" i="6"/>
  <c r="V5" i="6"/>
  <c r="Q6" i="6"/>
  <c r="H34" i="6"/>
  <c r="T6" i="6"/>
  <c r="AC6" i="6"/>
  <c r="S6" i="6"/>
  <c r="AA6" i="6"/>
  <c r="Q7" i="6"/>
  <c r="H35" i="6"/>
  <c r="T7" i="6"/>
  <c r="AC7" i="6"/>
  <c r="AA7" i="6"/>
  <c r="AB8" i="6"/>
  <c r="AG9" i="6"/>
  <c r="AI9" i="6" s="1"/>
  <c r="AJ9" i="6" s="1"/>
  <c r="R10" i="6"/>
  <c r="AD10" i="6"/>
  <c r="U10" i="6"/>
  <c r="AC10" i="6"/>
  <c r="U11" i="6"/>
  <c r="N40" i="6"/>
  <c r="AH12" i="6"/>
  <c r="AI12" i="6" s="1"/>
  <c r="AJ12" i="6" s="1"/>
  <c r="I14" i="6"/>
  <c r="G28" i="6"/>
  <c r="AC19" i="6"/>
  <c r="AG22" i="6"/>
  <c r="AI22" i="6" s="1"/>
  <c r="AJ22" i="6" s="1"/>
  <c r="N39" i="6"/>
  <c r="AA5" i="6"/>
  <c r="AB7" i="6"/>
  <c r="Q8" i="6"/>
  <c r="AC8" i="6"/>
  <c r="H37" i="6"/>
  <c r="L37" i="6"/>
  <c r="H38" i="6"/>
  <c r="L38" i="6"/>
  <c r="Z10" i="6"/>
  <c r="Q11" i="6"/>
  <c r="V11" i="6"/>
  <c r="I28" i="6"/>
  <c r="M28" i="6"/>
  <c r="X19" i="6"/>
  <c r="AD19" i="6"/>
  <c r="V21" i="6"/>
  <c r="Y6" i="6"/>
  <c r="Y7" i="6"/>
  <c r="Z8" i="6"/>
  <c r="I38" i="6"/>
  <c r="M38" i="6"/>
  <c r="AA10" i="6"/>
  <c r="H39" i="6"/>
  <c r="T11" i="6"/>
  <c r="W11" i="6"/>
  <c r="AC11" i="6"/>
  <c r="J28" i="6"/>
  <c r="N28" i="6"/>
  <c r="AB19" i="6"/>
  <c r="AQ9" i="3"/>
  <c r="AR9" i="3" s="1"/>
  <c r="AQ23" i="3"/>
  <c r="AR23" i="3" s="1"/>
  <c r="Y24" i="3"/>
  <c r="AO6" i="3"/>
  <c r="AB24" i="3"/>
  <c r="P28" i="3"/>
  <c r="AC10" i="3"/>
  <c r="Z24" i="3"/>
  <c r="AC24" i="3"/>
  <c r="AE11" i="3"/>
  <c r="AE10" i="3"/>
  <c r="AE24" i="3"/>
  <c r="AF24" i="3"/>
  <c r="U28" i="3"/>
  <c r="Z10" i="3"/>
  <c r="AF10" i="3"/>
  <c r="AE8" i="3"/>
  <c r="AE5" i="3"/>
  <c r="AH6" i="3"/>
  <c r="AH7" i="3"/>
  <c r="AH8" i="3"/>
  <c r="AH10" i="3"/>
  <c r="AH11" i="3"/>
  <c r="AK5" i="3"/>
  <c r="AK6" i="3"/>
  <c r="AK7" i="3"/>
  <c r="AK8" i="3"/>
  <c r="AK10" i="3"/>
  <c r="AK11" i="3"/>
  <c r="AE22" i="3"/>
  <c r="AE19" i="3"/>
  <c r="AH20" i="3"/>
  <c r="AH21" i="3"/>
  <c r="AH22" i="3"/>
  <c r="AH24" i="3"/>
  <c r="AH25" i="3"/>
  <c r="AK20" i="3"/>
  <c r="AK21" i="3"/>
  <c r="AK22" i="3"/>
  <c r="AK24" i="3"/>
  <c r="AK25" i="3"/>
  <c r="AA5" i="3"/>
  <c r="AD5" i="3"/>
  <c r="AA19" i="3"/>
  <c r="AD19" i="3"/>
  <c r="AG8" i="3"/>
  <c r="AI6" i="3"/>
  <c r="AI7" i="3"/>
  <c r="AI8" i="3"/>
  <c r="AI10" i="3"/>
  <c r="AI11" i="3"/>
  <c r="AL6" i="3"/>
  <c r="AL7" i="3"/>
  <c r="AL8" i="3"/>
  <c r="AL10" i="3"/>
  <c r="AL11" i="3"/>
  <c r="AG22" i="3"/>
  <c r="AI20" i="3"/>
  <c r="AI21" i="3"/>
  <c r="AI22" i="3"/>
  <c r="AI24" i="3"/>
  <c r="AI25" i="3"/>
  <c r="AL20" i="3"/>
  <c r="AL21" i="3"/>
  <c r="AL22" i="3"/>
  <c r="AL24" i="3"/>
  <c r="AL25" i="3"/>
  <c r="AA11" i="3"/>
  <c r="Y5" i="3"/>
  <c r="Z5" i="3"/>
  <c r="AD11" i="3"/>
  <c r="AB5" i="3"/>
  <c r="AC5" i="3"/>
  <c r="AA25" i="3"/>
  <c r="Y19" i="3"/>
  <c r="Z19" i="3"/>
  <c r="AB21" i="3"/>
  <c r="AB19" i="3"/>
  <c r="AC19" i="3"/>
  <c r="AF8" i="3"/>
  <c r="AF5" i="3"/>
  <c r="AJ6" i="3"/>
  <c r="AJ7" i="3"/>
  <c r="AJ8" i="3"/>
  <c r="AJ10" i="3"/>
  <c r="AJ11" i="3"/>
  <c r="AM6" i="3"/>
  <c r="AM7" i="3"/>
  <c r="AM8" i="3"/>
  <c r="AM10" i="3"/>
  <c r="AM11" i="3"/>
  <c r="AF22" i="3"/>
  <c r="AF19" i="3"/>
  <c r="AJ20" i="3"/>
  <c r="AJ21" i="3"/>
  <c r="AJ22" i="3"/>
  <c r="AJ24" i="3"/>
  <c r="AJ25" i="3"/>
  <c r="AM20" i="3"/>
  <c r="AM21" i="3"/>
  <c r="AM22" i="3"/>
  <c r="AM24" i="3"/>
  <c r="AM25" i="3"/>
  <c r="Y6" i="3"/>
  <c r="AA8" i="3"/>
  <c r="AB6" i="3"/>
  <c r="AD24" i="3"/>
  <c r="AE25" i="3"/>
  <c r="AH19" i="3"/>
  <c r="AB22" i="3"/>
  <c r="AF7" i="3"/>
  <c r="AF21" i="3"/>
  <c r="Y8" i="3"/>
  <c r="Z8" i="3"/>
  <c r="AB8" i="3"/>
  <c r="AC8" i="3"/>
  <c r="Y22" i="3"/>
  <c r="Z22" i="3"/>
  <c r="AC22" i="3"/>
  <c r="AA6" i="3"/>
  <c r="AD6" i="3"/>
  <c r="AA20" i="3"/>
  <c r="AE6" i="3"/>
  <c r="AE20" i="3"/>
  <c r="Y11" i="3"/>
  <c r="Y7" i="3"/>
  <c r="AA7" i="3"/>
  <c r="AB11" i="3"/>
  <c r="AB7" i="3"/>
  <c r="AD7" i="3"/>
  <c r="Y25" i="3"/>
  <c r="Y21" i="3"/>
  <c r="AA21" i="3"/>
  <c r="AB25" i="3"/>
  <c r="AD25" i="3"/>
  <c r="AD21" i="3"/>
  <c r="AD20" i="3"/>
  <c r="AG11" i="3"/>
  <c r="AG7" i="3"/>
  <c r="AG6" i="3"/>
  <c r="AG25" i="3"/>
  <c r="AG21" i="3"/>
  <c r="AG20" i="3"/>
  <c r="AI5" i="3"/>
  <c r="AL19" i="3"/>
  <c r="Y10" i="3"/>
  <c r="Z11" i="3"/>
  <c r="Z7" i="3"/>
  <c r="Z6" i="3"/>
  <c r="AB10" i="3"/>
  <c r="AC11" i="3"/>
  <c r="AC7" i="3"/>
  <c r="AC6" i="3"/>
  <c r="Z25" i="3"/>
  <c r="Z21" i="3"/>
  <c r="Z20" i="3"/>
  <c r="AC25" i="3"/>
  <c r="AC21" i="3"/>
  <c r="AC20" i="3"/>
  <c r="AF11" i="3"/>
  <c r="AF6" i="3"/>
  <c r="AF25" i="3"/>
  <c r="AF20" i="3"/>
  <c r="AA10" i="3"/>
  <c r="AD10" i="3"/>
  <c r="AD8" i="3"/>
  <c r="Y20" i="3"/>
  <c r="AA24" i="3"/>
  <c r="AA22" i="3"/>
  <c r="AB20" i="3"/>
  <c r="AD22" i="3"/>
  <c r="AE7" i="3"/>
  <c r="AG10" i="3"/>
  <c r="AG5" i="3"/>
  <c r="AE21" i="3"/>
  <c r="AG24" i="3"/>
  <c r="AG19" i="3"/>
  <c r="AJ5" i="3"/>
  <c r="AI19" i="3"/>
  <c r="AM19" i="3"/>
  <c r="AL5" i="3"/>
  <c r="AJ19" i="3"/>
  <c r="AH5" i="3"/>
  <c r="AM5" i="3"/>
  <c r="AK19" i="3"/>
  <c r="S28" i="3"/>
  <c r="M28" i="3"/>
  <c r="T14" i="3"/>
  <c r="L28" i="3"/>
  <c r="M14" i="3"/>
  <c r="N28" i="3"/>
  <c r="O28" i="3"/>
  <c r="O14" i="3"/>
  <c r="N14" i="3"/>
  <c r="J14" i="3"/>
  <c r="L14" i="3"/>
  <c r="C28" i="3"/>
  <c r="G28" i="3"/>
  <c r="J28" i="3"/>
  <c r="E28" i="3"/>
  <c r="G14" i="3"/>
  <c r="H14" i="3"/>
  <c r="I14" i="3"/>
  <c r="D28" i="3"/>
  <c r="H28" i="3"/>
  <c r="F28" i="3"/>
  <c r="I28" i="3"/>
  <c r="F14" i="3"/>
  <c r="D14" i="3"/>
  <c r="E14" i="3"/>
  <c r="AD52" i="2"/>
  <c r="AC52" i="2"/>
  <c r="AB52" i="2"/>
  <c r="AA52" i="2"/>
  <c r="Z52" i="2"/>
  <c r="Y52" i="2"/>
  <c r="X52" i="2"/>
  <c r="AD51" i="2"/>
  <c r="AC51" i="2"/>
  <c r="AB51" i="2"/>
  <c r="AA51" i="2"/>
  <c r="Z51" i="2"/>
  <c r="Y51" i="2"/>
  <c r="X51" i="2"/>
  <c r="AD50" i="2"/>
  <c r="AC50" i="2"/>
  <c r="AB50" i="2"/>
  <c r="AA50" i="2"/>
  <c r="Z50" i="2"/>
  <c r="Y50" i="2"/>
  <c r="X50" i="2"/>
  <c r="AD49" i="2"/>
  <c r="AC49" i="2"/>
  <c r="AB49" i="2"/>
  <c r="AA49" i="2"/>
  <c r="Z49" i="2"/>
  <c r="Y49" i="2"/>
  <c r="X49" i="2"/>
  <c r="AD48" i="2"/>
  <c r="AC48" i="2"/>
  <c r="AB48" i="2"/>
  <c r="AA48" i="2"/>
  <c r="Z48" i="2"/>
  <c r="Y48" i="2"/>
  <c r="X48" i="2"/>
  <c r="AD47" i="2"/>
  <c r="AC47" i="2"/>
  <c r="AB47" i="2"/>
  <c r="AA47" i="2"/>
  <c r="Z47" i="2"/>
  <c r="Y47" i="2"/>
  <c r="X47" i="2"/>
  <c r="AD46" i="2"/>
  <c r="AC46" i="2"/>
  <c r="AB46" i="2"/>
  <c r="AA46" i="2"/>
  <c r="Z46" i="2"/>
  <c r="Y46" i="2"/>
  <c r="X46" i="2"/>
  <c r="AD45" i="2"/>
  <c r="AC45" i="2"/>
  <c r="AB45" i="2"/>
  <c r="AA45" i="2"/>
  <c r="Z45" i="2"/>
  <c r="Y45" i="2"/>
  <c r="X45" i="2"/>
  <c r="AD44" i="2"/>
  <c r="AC44" i="2"/>
  <c r="AB44" i="2"/>
  <c r="AA44" i="2"/>
  <c r="Z44" i="2"/>
  <c r="Y44" i="2"/>
  <c r="X44" i="2"/>
  <c r="AD43" i="2"/>
  <c r="AC43" i="2"/>
  <c r="AB43" i="2"/>
  <c r="AA43" i="2"/>
  <c r="Z43" i="2"/>
  <c r="Y43" i="2"/>
  <c r="X43" i="2"/>
  <c r="AD42" i="2"/>
  <c r="AC42" i="2"/>
  <c r="AB42" i="2"/>
  <c r="AA42" i="2"/>
  <c r="Z42" i="2"/>
  <c r="Y42" i="2"/>
  <c r="X42" i="2"/>
  <c r="AD41" i="2"/>
  <c r="AC41" i="2"/>
  <c r="AB41" i="2"/>
  <c r="AA41" i="2"/>
  <c r="Z41" i="2"/>
  <c r="Y41" i="2"/>
  <c r="X41" i="2"/>
  <c r="AD40" i="2"/>
  <c r="AC40" i="2"/>
  <c r="AB40" i="2"/>
  <c r="AA40" i="2"/>
  <c r="Z40" i="2"/>
  <c r="Y40" i="2"/>
  <c r="X40" i="2"/>
  <c r="AD34" i="2"/>
  <c r="AC34" i="2"/>
  <c r="AB34" i="2"/>
  <c r="AA34" i="2"/>
  <c r="Z34" i="2"/>
  <c r="Y34" i="2"/>
  <c r="X34" i="2"/>
  <c r="AD33" i="2"/>
  <c r="AC33" i="2"/>
  <c r="AB33" i="2"/>
  <c r="AA33" i="2"/>
  <c r="Z33" i="2"/>
  <c r="Y33" i="2"/>
  <c r="X33" i="2"/>
  <c r="AD32" i="2"/>
  <c r="AC32" i="2"/>
  <c r="AB32" i="2"/>
  <c r="AA32" i="2"/>
  <c r="Z32" i="2"/>
  <c r="Y32" i="2"/>
  <c r="X32" i="2"/>
  <c r="AD31" i="2"/>
  <c r="AC31" i="2"/>
  <c r="AB31" i="2"/>
  <c r="AA31" i="2"/>
  <c r="Z31" i="2"/>
  <c r="Y31" i="2"/>
  <c r="X31" i="2"/>
  <c r="AD30" i="2"/>
  <c r="AC30" i="2"/>
  <c r="AB30" i="2"/>
  <c r="AA30" i="2"/>
  <c r="Z30" i="2"/>
  <c r="Y30" i="2"/>
  <c r="X30" i="2"/>
  <c r="AD29" i="2"/>
  <c r="AC29" i="2"/>
  <c r="AB29" i="2"/>
  <c r="AA29" i="2"/>
  <c r="Z29" i="2"/>
  <c r="Y29" i="2"/>
  <c r="X29" i="2"/>
  <c r="AD28" i="2"/>
  <c r="AC28" i="2"/>
  <c r="AB28" i="2"/>
  <c r="AA28" i="2"/>
  <c r="Z28" i="2"/>
  <c r="Y28" i="2"/>
  <c r="X28" i="2"/>
  <c r="AD27" i="2"/>
  <c r="AC27" i="2"/>
  <c r="AB27" i="2"/>
  <c r="AA27" i="2"/>
  <c r="Z27" i="2"/>
  <c r="Y27" i="2"/>
  <c r="X27" i="2"/>
  <c r="AD26" i="2"/>
  <c r="AC26" i="2"/>
  <c r="AB26" i="2"/>
  <c r="AA26" i="2"/>
  <c r="Z26" i="2"/>
  <c r="Y26" i="2"/>
  <c r="X26" i="2"/>
  <c r="AD25" i="2"/>
  <c r="AC25" i="2"/>
  <c r="AB25" i="2"/>
  <c r="AA25" i="2"/>
  <c r="Z25" i="2"/>
  <c r="Y25" i="2"/>
  <c r="X25" i="2"/>
  <c r="AD24" i="2"/>
  <c r="AC24" i="2"/>
  <c r="AB24" i="2"/>
  <c r="AA24" i="2"/>
  <c r="Z24" i="2"/>
  <c r="Y24" i="2"/>
  <c r="X24" i="2"/>
  <c r="AD23" i="2"/>
  <c r="AC23" i="2"/>
  <c r="AB23" i="2"/>
  <c r="AA23" i="2"/>
  <c r="Z23" i="2"/>
  <c r="Y23" i="2"/>
  <c r="X23" i="2"/>
  <c r="AD22" i="2"/>
  <c r="AC22" i="2"/>
  <c r="AB22" i="2"/>
  <c r="AA22" i="2"/>
  <c r="Z22" i="2"/>
  <c r="Y22" i="2"/>
  <c r="X22" i="2"/>
  <c r="X5" i="2"/>
  <c r="Y5" i="2"/>
  <c r="Z5" i="2"/>
  <c r="AA5" i="2"/>
  <c r="AB5" i="2"/>
  <c r="AC5" i="2"/>
  <c r="AD5" i="2"/>
  <c r="X6" i="2"/>
  <c r="Y6" i="2"/>
  <c r="Z6" i="2"/>
  <c r="AA6" i="2"/>
  <c r="AB6" i="2"/>
  <c r="AC6" i="2"/>
  <c r="AD6" i="2"/>
  <c r="X7" i="2"/>
  <c r="Y7" i="2"/>
  <c r="Z7" i="2"/>
  <c r="AA7" i="2"/>
  <c r="AB7" i="2"/>
  <c r="AC7" i="2"/>
  <c r="AD7" i="2"/>
  <c r="X8" i="2"/>
  <c r="Y8" i="2"/>
  <c r="Z8" i="2"/>
  <c r="AA8" i="2"/>
  <c r="AB8" i="2"/>
  <c r="AC8" i="2"/>
  <c r="AD8" i="2"/>
  <c r="X9" i="2"/>
  <c r="Y9" i="2"/>
  <c r="Z9" i="2"/>
  <c r="AA9" i="2"/>
  <c r="AB9" i="2"/>
  <c r="AC9" i="2"/>
  <c r="AD9" i="2"/>
  <c r="X10" i="2"/>
  <c r="Y10" i="2"/>
  <c r="Z10" i="2"/>
  <c r="AA10" i="2"/>
  <c r="AB10" i="2"/>
  <c r="AC10" i="2"/>
  <c r="AD10" i="2"/>
  <c r="X11" i="2"/>
  <c r="Y11" i="2"/>
  <c r="Z11" i="2"/>
  <c r="AA11" i="2"/>
  <c r="AB11" i="2"/>
  <c r="AC11" i="2"/>
  <c r="AD11" i="2"/>
  <c r="X12" i="2"/>
  <c r="Y12" i="2"/>
  <c r="Z12" i="2"/>
  <c r="AA12" i="2"/>
  <c r="AB12" i="2"/>
  <c r="AC12" i="2"/>
  <c r="AD12" i="2"/>
  <c r="X13" i="2"/>
  <c r="Y13" i="2"/>
  <c r="Z13" i="2"/>
  <c r="AA13" i="2"/>
  <c r="AB13" i="2"/>
  <c r="AC13" i="2"/>
  <c r="AD13" i="2"/>
  <c r="X14" i="2"/>
  <c r="Y14" i="2"/>
  <c r="Z14" i="2"/>
  <c r="AA14" i="2"/>
  <c r="AB14" i="2"/>
  <c r="AC14" i="2"/>
  <c r="AD14" i="2"/>
  <c r="X15" i="2"/>
  <c r="Y15" i="2"/>
  <c r="Z15" i="2"/>
  <c r="AA15" i="2"/>
  <c r="AB15" i="2"/>
  <c r="AC15" i="2"/>
  <c r="AD15" i="2"/>
  <c r="X16" i="2"/>
  <c r="Y16" i="2"/>
  <c r="Z16" i="2"/>
  <c r="AA16" i="2"/>
  <c r="AB16" i="2"/>
  <c r="AC16" i="2"/>
  <c r="AD16" i="2"/>
  <c r="Y4" i="2"/>
  <c r="Z4" i="2"/>
  <c r="AA4" i="2"/>
  <c r="AB4" i="2"/>
  <c r="AC4" i="2"/>
  <c r="AD4" i="2"/>
  <c r="X4" i="2"/>
  <c r="C19" i="1"/>
  <c r="D19" i="1"/>
  <c r="E19" i="1"/>
  <c r="F19" i="1"/>
  <c r="B19" i="1"/>
  <c r="AI10" i="6" l="1"/>
  <c r="AJ10" i="6" s="1"/>
  <c r="AL28" i="6"/>
  <c r="AI8" i="6"/>
  <c r="AJ8" i="6" s="1"/>
  <c r="AL14" i="6"/>
  <c r="D116" i="2"/>
  <c r="G115" i="2"/>
  <c r="J114" i="2"/>
  <c r="F114" i="2"/>
  <c r="I113" i="2"/>
  <c r="E113" i="2"/>
  <c r="H112" i="2"/>
  <c r="D112" i="2"/>
  <c r="G111" i="2"/>
  <c r="J110" i="2"/>
  <c r="F110" i="2"/>
  <c r="I109" i="2"/>
  <c r="E109" i="2"/>
  <c r="H108" i="2"/>
  <c r="D108" i="2"/>
  <c r="G107" i="2"/>
  <c r="J106" i="2"/>
  <c r="F106" i="2"/>
  <c r="I105" i="2"/>
  <c r="E105" i="2"/>
  <c r="H104" i="2"/>
  <c r="D104" i="2"/>
  <c r="G101" i="2"/>
  <c r="J100" i="2"/>
  <c r="F100" i="2"/>
  <c r="I99" i="2"/>
  <c r="E99" i="2"/>
  <c r="H98" i="2"/>
  <c r="D98" i="2"/>
  <c r="G97" i="2"/>
  <c r="J96" i="2"/>
  <c r="F96" i="2"/>
  <c r="I95" i="2"/>
  <c r="E95" i="2"/>
  <c r="H94" i="2"/>
  <c r="D94" i="2"/>
  <c r="G93" i="2"/>
  <c r="J92" i="2"/>
  <c r="F92" i="2"/>
  <c r="I91" i="2"/>
  <c r="E91" i="2"/>
  <c r="H90" i="2"/>
  <c r="D90" i="2"/>
  <c r="G89" i="2"/>
  <c r="J86" i="2"/>
  <c r="J116" i="2"/>
  <c r="I116" i="2"/>
  <c r="H116" i="2"/>
  <c r="G116" i="2"/>
  <c r="F116" i="2"/>
  <c r="E116" i="2"/>
  <c r="J115" i="2"/>
  <c r="I115" i="2"/>
  <c r="H115" i="2"/>
  <c r="F115" i="2"/>
  <c r="E115" i="2"/>
  <c r="D115" i="2"/>
  <c r="I114" i="2"/>
  <c r="H114" i="2"/>
  <c r="G114" i="2"/>
  <c r="E114" i="2"/>
  <c r="D114" i="2"/>
  <c r="J113" i="2"/>
  <c r="H113" i="2"/>
  <c r="G113" i="2"/>
  <c r="F113" i="2"/>
  <c r="D113" i="2"/>
  <c r="J112" i="2"/>
  <c r="I112" i="2"/>
  <c r="G112" i="2"/>
  <c r="F112" i="2"/>
  <c r="E112" i="2"/>
  <c r="J111" i="2"/>
  <c r="I111" i="2"/>
  <c r="H111" i="2"/>
  <c r="F111" i="2"/>
  <c r="E111" i="2"/>
  <c r="D111" i="2"/>
  <c r="I110" i="2"/>
  <c r="H110" i="2"/>
  <c r="G110" i="2"/>
  <c r="E110" i="2"/>
  <c r="D110" i="2"/>
  <c r="J109" i="2"/>
  <c r="H109" i="2"/>
  <c r="G109" i="2"/>
  <c r="F109" i="2"/>
  <c r="D109" i="2"/>
  <c r="J108" i="2"/>
  <c r="I108" i="2"/>
  <c r="G108" i="2"/>
  <c r="F108" i="2"/>
  <c r="E108" i="2"/>
  <c r="J107" i="2"/>
  <c r="I107" i="2"/>
  <c r="H107" i="2"/>
  <c r="F107" i="2"/>
  <c r="E107" i="2"/>
  <c r="D107" i="2"/>
  <c r="I106" i="2"/>
  <c r="H106" i="2"/>
  <c r="G106" i="2"/>
  <c r="E106" i="2"/>
  <c r="D106" i="2"/>
  <c r="J105" i="2"/>
  <c r="H105" i="2"/>
  <c r="G105" i="2"/>
  <c r="F105" i="2"/>
  <c r="D105" i="2"/>
  <c r="J104" i="2"/>
  <c r="I104" i="2"/>
  <c r="G104" i="2"/>
  <c r="F104" i="2"/>
  <c r="E104" i="2"/>
  <c r="J101" i="2"/>
  <c r="I101" i="2"/>
  <c r="H101" i="2"/>
  <c r="F101" i="2"/>
  <c r="E101" i="2"/>
  <c r="D101" i="2"/>
  <c r="I100" i="2"/>
  <c r="H100" i="2"/>
  <c r="G100" i="2"/>
  <c r="E100" i="2"/>
  <c r="D100" i="2"/>
  <c r="J99" i="2"/>
  <c r="H99" i="2"/>
  <c r="G99" i="2"/>
  <c r="F99" i="2"/>
  <c r="D99" i="2"/>
  <c r="J98" i="2"/>
  <c r="I98" i="2"/>
  <c r="G98" i="2"/>
  <c r="F98" i="2"/>
  <c r="E98" i="2"/>
  <c r="J97" i="2"/>
  <c r="I97" i="2"/>
  <c r="H97" i="2"/>
  <c r="F97" i="2"/>
  <c r="E97" i="2"/>
  <c r="D97" i="2"/>
  <c r="I96" i="2"/>
  <c r="H96" i="2"/>
  <c r="G96" i="2"/>
  <c r="E96" i="2"/>
  <c r="D96" i="2"/>
  <c r="J95" i="2"/>
  <c r="H95" i="2"/>
  <c r="G95" i="2"/>
  <c r="F95" i="2"/>
  <c r="D95" i="2"/>
  <c r="J94" i="2"/>
  <c r="I94" i="2"/>
  <c r="G94" i="2"/>
  <c r="F94" i="2"/>
  <c r="E94" i="2"/>
  <c r="J93" i="2"/>
  <c r="I93" i="2"/>
  <c r="H93" i="2"/>
  <c r="F93" i="2"/>
  <c r="E93" i="2"/>
  <c r="D93" i="2"/>
  <c r="I92" i="2"/>
  <c r="H92" i="2"/>
  <c r="G92" i="2"/>
  <c r="E92" i="2"/>
  <c r="D92" i="2"/>
  <c r="J91" i="2"/>
  <c r="H91" i="2"/>
  <c r="G91" i="2"/>
  <c r="F91" i="2"/>
  <c r="D91" i="2"/>
  <c r="J90" i="2"/>
  <c r="I90" i="2"/>
  <c r="G90" i="2"/>
  <c r="F90" i="2"/>
  <c r="E90" i="2"/>
  <c r="J89" i="2"/>
  <c r="I89" i="2"/>
  <c r="H89" i="2"/>
  <c r="F89" i="2"/>
  <c r="E89" i="2"/>
  <c r="D89" i="2"/>
  <c r="I86" i="2"/>
  <c r="H86" i="2"/>
  <c r="G86" i="2"/>
  <c r="F86" i="2"/>
  <c r="E86" i="2"/>
  <c r="D86" i="2"/>
  <c r="J85" i="2"/>
  <c r="I85" i="2"/>
  <c r="H85" i="2"/>
  <c r="G85" i="2"/>
  <c r="F85" i="2"/>
  <c r="E85" i="2"/>
  <c r="D85" i="2"/>
  <c r="J84" i="2"/>
  <c r="I84" i="2"/>
  <c r="H84" i="2"/>
  <c r="G84" i="2"/>
  <c r="F84" i="2"/>
  <c r="E84" i="2"/>
  <c r="D84" i="2"/>
  <c r="J83" i="2"/>
  <c r="I83" i="2"/>
  <c r="H83" i="2"/>
  <c r="G83" i="2"/>
  <c r="F83" i="2"/>
  <c r="E83" i="2"/>
  <c r="D83" i="2"/>
  <c r="J82" i="2"/>
  <c r="I82" i="2"/>
  <c r="H82" i="2"/>
  <c r="G82" i="2"/>
  <c r="F82" i="2"/>
  <c r="E82" i="2"/>
  <c r="D82" i="2"/>
  <c r="J81" i="2"/>
  <c r="I81" i="2"/>
  <c r="H81" i="2"/>
  <c r="G81" i="2"/>
  <c r="F81" i="2"/>
  <c r="E81" i="2"/>
  <c r="D81" i="2"/>
  <c r="J80" i="2"/>
  <c r="I80" i="2"/>
  <c r="H80" i="2"/>
  <c r="G80" i="2"/>
  <c r="F80" i="2"/>
  <c r="E80" i="2"/>
  <c r="D80" i="2"/>
  <c r="J79" i="2"/>
  <c r="I79" i="2"/>
  <c r="H79" i="2"/>
  <c r="G79" i="2"/>
  <c r="F79" i="2"/>
  <c r="E79" i="2"/>
  <c r="D79" i="2"/>
  <c r="J78" i="2"/>
  <c r="I78" i="2"/>
  <c r="H78" i="2"/>
  <c r="G78" i="2"/>
  <c r="F78" i="2"/>
  <c r="E78" i="2"/>
  <c r="D78" i="2"/>
  <c r="J77" i="2"/>
  <c r="I77" i="2"/>
  <c r="H77" i="2"/>
  <c r="G77" i="2"/>
  <c r="F77" i="2"/>
  <c r="E77" i="2"/>
  <c r="D77" i="2"/>
  <c r="J76" i="2"/>
  <c r="I76" i="2"/>
  <c r="H76" i="2"/>
  <c r="G76" i="2"/>
  <c r="F76" i="2"/>
  <c r="E76" i="2"/>
  <c r="D76" i="2"/>
  <c r="J75" i="2"/>
  <c r="I75" i="2"/>
  <c r="H75" i="2"/>
  <c r="G75" i="2"/>
  <c r="F75" i="2"/>
  <c r="E75" i="2"/>
  <c r="D75" i="2"/>
  <c r="J74" i="2"/>
  <c r="I74" i="2"/>
  <c r="H74" i="2"/>
  <c r="G74" i="2"/>
  <c r="F74" i="2"/>
  <c r="E74" i="2"/>
  <c r="D74" i="2"/>
  <c r="K28" i="3" l="1"/>
  <c r="C14" i="3"/>
  <c r="K14" i="3"/>
</calcChain>
</file>

<file path=xl/sharedStrings.xml><?xml version="1.0" encoding="utf-8"?>
<sst xmlns="http://schemas.openxmlformats.org/spreadsheetml/2006/main" count="663" uniqueCount="127">
  <si>
    <t>Installed Capacity (MW)</t>
  </si>
  <si>
    <t>Resource</t>
  </si>
  <si>
    <t>Nuclear</t>
  </si>
  <si>
    <t>Fossil</t>
  </si>
  <si>
    <t>DEFR - HcLo</t>
  </si>
  <si>
    <t>DEFR - McMo</t>
  </si>
  <si>
    <t>DEFR- LcHo</t>
  </si>
  <si>
    <t>Hydro</t>
  </si>
  <si>
    <t>LBW</t>
  </si>
  <si>
    <t>OSW</t>
  </si>
  <si>
    <t>UPV</t>
  </si>
  <si>
    <t>BTM-PV</t>
  </si>
  <si>
    <t>Storage</t>
  </si>
  <si>
    <t>Total</t>
  </si>
  <si>
    <t>Generation (GWh)</t>
  </si>
  <si>
    <t>DEFR - LcHo</t>
  </si>
  <si>
    <t>Total Generation</t>
  </si>
  <si>
    <t>RE Generation</t>
  </si>
  <si>
    <t>ZE Generation</t>
  </si>
  <si>
    <t>Load</t>
  </si>
  <si>
    <t>Load+Charge</t>
  </si>
  <si>
    <t>% RE [RE/Load]</t>
  </si>
  <si>
    <t>%ZE[ZE/(Load+Charge)]</t>
  </si>
  <si>
    <t>Emissions (million tons)</t>
  </si>
  <si>
    <t>CO2 (million tons)</t>
  </si>
  <si>
    <t>Mitigation Scenarios Summary Fuel Mix (Capacity)</t>
  </si>
  <si>
    <t>Scenario 2</t>
  </si>
  <si>
    <t>Unit</t>
  </si>
  <si>
    <t>MW</t>
  </si>
  <si>
    <t>Gas &amp; FO</t>
  </si>
  <si>
    <t>Zero-Carbon Firm Resource</t>
  </si>
  <si>
    <t>Biomass</t>
  </si>
  <si>
    <t>In-State Hydro</t>
  </si>
  <si>
    <t>Hydro Imports (Existing)</t>
  </si>
  <si>
    <t>Hydro Imports (New)</t>
  </si>
  <si>
    <t>Wind</t>
  </si>
  <si>
    <t>Wind Imports</t>
  </si>
  <si>
    <t>Wind_Offshore</t>
  </si>
  <si>
    <t>Solar</t>
  </si>
  <si>
    <t>Battery Storage</t>
  </si>
  <si>
    <t>Pumped Storage</t>
  </si>
  <si>
    <t>Scenario 3</t>
  </si>
  <si>
    <t>Scenario 4</t>
  </si>
  <si>
    <t>Reference Case</t>
  </si>
  <si>
    <t>Delta relative to Reference Case</t>
  </si>
  <si>
    <t>GWh</t>
  </si>
  <si>
    <t>Imports*</t>
  </si>
  <si>
    <t>Exports</t>
  </si>
  <si>
    <t>DEFR</t>
  </si>
  <si>
    <t>Strategic Use of Low-Carbon Fuels</t>
  </si>
  <si>
    <t>Other</t>
  </si>
  <si>
    <t>Accelerated Transition from Combustion</t>
  </si>
  <si>
    <t>Beyond 85% Reduction</t>
  </si>
  <si>
    <t>Mitigation Scenarios Summary Annual Fuel Mix Generation (GWh)</t>
  </si>
  <si>
    <t>NYISO Outlook Study Figure 44: S1 Capacity and Generation Results</t>
  </si>
  <si>
    <t>NYISO Outlook Study Figure 45: S2 Capacity and Generation Results</t>
  </si>
  <si>
    <t>https://www.nyiso.com/documents/20142/32810936/2021-2040_System_Resource_Outlook_Data.xlsx/86359d07-fd48-4544-24c3-8049bb0f1d23</t>
  </si>
  <si>
    <t>NYISO 2021-2040 System &amp; Resource Outlook Data</t>
  </si>
  <si>
    <t>Mitigation Scenarios Summary Capacity Factors</t>
  </si>
  <si>
    <t>NYISO Outlook Scenario 1</t>
  </si>
  <si>
    <t>NYISO Outlook Scenario 2</t>
  </si>
  <si>
    <t>NYISO Outlook Study  Scenarios and Integration Analysis Mitigation Scenarios Installed Capacity (MW)</t>
  </si>
  <si>
    <t>NYISO Outlook Study  Scenarios and Integration Analysis Mitigation Scenarios Generation (GWhr)</t>
  </si>
  <si>
    <t>Strategy*</t>
  </si>
  <si>
    <t>Example technologies</t>
  </si>
  <si>
    <t>Economic factors1*</t>
  </si>
  <si>
    <t>Ideal solution</t>
  </si>
  <si>
    <t>n/a</t>
  </si>
  <si>
    <t>low capex, low opex</t>
  </si>
  <si>
    <t>Variable renewable energy</t>
  </si>
  <si>
    <t>wind, solar photovoltaics</t>
  </si>
  <si>
    <t>low-medium capex, low opex</t>
  </si>
  <si>
    <t>Other renewable energy</t>
  </si>
  <si>
    <t>geothermal</t>
  </si>
  <si>
    <t>hydropower</t>
  </si>
  <si>
    <t>biopower</t>
  </si>
  <si>
    <t>biogas and biodiesel combustion turbine</t>
  </si>
  <si>
    <t>medium-high capex, low opex</t>
  </si>
  <si>
    <t>high capex, medium opex</t>
  </si>
  <si>
    <t>low capex, high opex</t>
  </si>
  <si>
    <t>Nuclear and fossil with carbon capture</t>
  </si>
  <si>
    <t>advanced nuclear</t>
  </si>
  <si>
    <t>fossil with carbon capture and storage</t>
  </si>
  <si>
    <t>Seasonal storage</t>
  </si>
  <si>
    <t>H2 combustion turbine</t>
  </si>
  <si>
    <t>H2 fuel cell</t>
  </si>
  <si>
    <t>potential for low capex, high opex</t>
  </si>
  <si>
    <t>Carbon dioxide removal</t>
  </si>
  <si>
    <t>bioenergy with carbon capture and storage</t>
  </si>
  <si>
    <t>high capex,0 high opex</t>
  </si>
  <si>
    <t>direct air carbon capture and storage</t>
  </si>
  <si>
    <t>high capex, high opex</t>
  </si>
  <si>
    <t>varied</t>
  </si>
  <si>
    <t>low capex, uncertain opportunity cost</t>
  </si>
  <si>
    <t>constraints</t>
  </si>
  <si>
    <t>Technology</t>
  </si>
  <si>
    <t>maturity</t>
  </si>
  <si>
    <t>Other considerations</t>
  </si>
  <si>
    <t>low</t>
  </si>
  <si>
    <t>high</t>
  </si>
  <si>
    <t>low environmental impact, synergistic interactions with other sectors</t>
  </si>
  <si>
    <t>medium</t>
  </si>
  <si>
    <t>electrical transmission and storage, land use, social acceptance, weather dependent</t>
  </si>
  <si>
    <t>geographic constraints</t>
  </si>
  <si>
    <t>geographic constraints, shared water resource</t>
  </si>
  <si>
    <t>biomass sustainability and competition</t>
  </si>
  <si>
    <t>security, supply chain, regulatory and cost uncertainties</t>
  </si>
  <si>
    <t>upstream emissions, CO2 transport and sequestration</t>
  </si>
  <si>
    <t>H2 storage and transport,</t>
  </si>
  <si>
    <t>biomass sustainability and competition, CO2 storage and transport</t>
  </si>
  <si>
    <t>CO2 storage and transport</t>
  </si>
  <si>
    <t>unknown</t>
  </si>
  <si>
    <t>communications and control equipment, reliability</t>
  </si>
  <si>
    <t>high (feedstock)</t>
  </si>
  <si>
    <t>H2 storage and transport, H2 competition</t>
  </si>
  <si>
    <t>medium-high</t>
  </si>
  <si>
    <t>Demand-side resources</t>
  </si>
  <si>
    <t>Resource 1</t>
  </si>
  <si>
    <t>Resource 2</t>
  </si>
  <si>
    <t>Integration 2</t>
  </si>
  <si>
    <t>Integration 3</t>
  </si>
  <si>
    <t>Integration 4</t>
  </si>
  <si>
    <t>NYISO Outlook Study  Scenarios and Integration Analysis Mitigation Scenarios capacity Factors (%)</t>
  </si>
  <si>
    <t xml:space="preserve">Getting to 100%: Six strategies for the challenging last 10%, </t>
  </si>
  <si>
    <t>NYISO Outlook Study  Scenarios and Integration Analysis Mitigation Scenario 2 Installed Capacity (MW)</t>
  </si>
  <si>
    <t>NYISO Outlook Study  Scenarios and Integration Analysis Mitigation Scenario 2 Generation (GWhr)</t>
  </si>
  <si>
    <t>NYISO Outlook Study  Scenarios and Integration Analysis Mitigation Scenario 2 Capacity Factors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</si>
</sst>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0.0%"/>
    <numFmt numFmtId="166" formatCode="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2" tint="-0.49998474074526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507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0" fontId="3" fillId="0" borderId="0" applyNumberForma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0">
    <xf numFmtId="0" fontId="0" fillId="0" borderId="0" xfId="0"/>
    <xf numFmtId="0" fontId="3" fillId="0" borderId="0" xfId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0" fillId="0" borderId="1" xfId="0" applyBorder="1"/>
    <xf numFmtId="3" fontId="0" fillId="0" borderId="1" xfId="0" applyNumberFormat="1" applyBorder="1"/>
    <xf numFmtId="9" fontId="0" fillId="0" borderId="1" xfId="0" applyNumberFormat="1" applyBorder="1"/>
    <xf numFmtId="2" fontId="0" fillId="0" borderId="1" xfId="0" applyNumberFormat="1" applyBorder="1"/>
    <xf numFmtId="0" fontId="4" fillId="2" borderId="2" xfId="2" applyFont="1" applyFill="1" applyBorder="1"/>
    <xf numFmtId="0" fontId="5" fillId="2" borderId="3" xfId="2" applyFont="1" applyFill="1" applyBorder="1" applyAlignment="1">
      <alignment horizontal="right"/>
    </xf>
    <xf numFmtId="0" fontId="5" fillId="2" borderId="4" xfId="2" applyFont="1" applyFill="1" applyBorder="1" applyAlignment="1">
      <alignment horizontal="right"/>
    </xf>
    <xf numFmtId="0" fontId="4" fillId="2" borderId="4" xfId="2" applyFont="1" applyFill="1" applyBorder="1"/>
    <xf numFmtId="0" fontId="6" fillId="0" borderId="2" xfId="2" applyFont="1" applyBorder="1"/>
    <xf numFmtId="0" fontId="7" fillId="0" borderId="3" xfId="2" applyFont="1" applyBorder="1" applyAlignment="1">
      <alignment horizontal="right"/>
    </xf>
    <xf numFmtId="0" fontId="7" fillId="0" borderId="4" xfId="2" applyFont="1" applyBorder="1" applyAlignment="1">
      <alignment horizontal="right"/>
    </xf>
    <xf numFmtId="164" fontId="6" fillId="3" borderId="1" xfId="3" applyNumberFormat="1" applyFont="1" applyFill="1" applyBorder="1" applyAlignment="1"/>
    <xf numFmtId="0" fontId="6" fillId="0" borderId="5" xfId="2" applyFont="1" applyBorder="1"/>
    <xf numFmtId="0" fontId="7" fillId="0" borderId="6" xfId="2" applyFont="1" applyBorder="1" applyAlignment="1">
      <alignment horizontal="right"/>
    </xf>
    <xf numFmtId="0" fontId="7" fillId="0" borderId="0" xfId="2" applyFont="1" applyAlignment="1">
      <alignment horizontal="right"/>
    </xf>
    <xf numFmtId="0" fontId="6" fillId="0" borderId="7" xfId="2" applyFont="1" applyBorder="1"/>
    <xf numFmtId="0" fontId="7" fillId="0" borderId="8" xfId="2" applyFont="1" applyBorder="1" applyAlignment="1">
      <alignment horizontal="right"/>
    </xf>
    <xf numFmtId="0" fontId="7" fillId="0" borderId="9" xfId="2" applyFont="1" applyBorder="1" applyAlignment="1">
      <alignment horizontal="right"/>
    </xf>
    <xf numFmtId="0" fontId="4" fillId="2" borderId="2" xfId="4" applyFont="1" applyFill="1" applyBorder="1"/>
    <xf numFmtId="0" fontId="5" fillId="2" borderId="3" xfId="4" applyFont="1" applyFill="1" applyBorder="1" applyAlignment="1">
      <alignment horizontal="right"/>
    </xf>
    <xf numFmtId="0" fontId="5" fillId="2" borderId="4" xfId="4" applyFont="1" applyFill="1" applyBorder="1" applyAlignment="1">
      <alignment horizontal="right"/>
    </xf>
    <xf numFmtId="0" fontId="4" fillId="2" borderId="4" xfId="4" applyFont="1" applyFill="1" applyBorder="1"/>
    <xf numFmtId="0" fontId="6" fillId="0" borderId="2" xfId="4" applyFont="1" applyBorder="1"/>
    <xf numFmtId="0" fontId="7" fillId="0" borderId="3" xfId="4" applyFont="1" applyBorder="1" applyAlignment="1">
      <alignment horizontal="right"/>
    </xf>
    <xf numFmtId="0" fontId="7" fillId="0" borderId="4" xfId="4" applyFont="1" applyBorder="1" applyAlignment="1">
      <alignment horizontal="right"/>
    </xf>
    <xf numFmtId="0" fontId="6" fillId="0" borderId="5" xfId="4" applyFont="1" applyBorder="1"/>
    <xf numFmtId="0" fontId="7" fillId="0" borderId="6" xfId="4" applyFont="1" applyBorder="1" applyAlignment="1">
      <alignment horizontal="right"/>
    </xf>
    <xf numFmtId="0" fontId="7" fillId="0" borderId="0" xfId="4" applyFont="1" applyAlignment="1">
      <alignment horizontal="right"/>
    </xf>
    <xf numFmtId="0" fontId="6" fillId="0" borderId="7" xfId="4" applyFont="1" applyBorder="1"/>
    <xf numFmtId="0" fontId="7" fillId="0" borderId="8" xfId="4" applyFont="1" applyBorder="1" applyAlignment="1">
      <alignment horizontal="right"/>
    </xf>
    <xf numFmtId="0" fontId="7" fillId="0" borderId="9" xfId="4" applyFont="1" applyBorder="1" applyAlignment="1">
      <alignment horizontal="right"/>
    </xf>
    <xf numFmtId="164" fontId="6" fillId="3" borderId="1" xfId="5" applyNumberFormat="1" applyFont="1" applyFill="1" applyBorder="1" applyAlignment="1"/>
    <xf numFmtId="0" fontId="8" fillId="0" borderId="5" xfId="2" applyFont="1" applyBorder="1"/>
    <xf numFmtId="164" fontId="8" fillId="3" borderId="1" xfId="3" applyNumberFormat="1" applyFont="1" applyFill="1" applyBorder="1" applyAlignment="1"/>
    <xf numFmtId="0" fontId="8" fillId="0" borderId="7" xfId="2" applyFont="1" applyBorder="1"/>
    <xf numFmtId="0" fontId="2" fillId="4" borderId="9" xfId="0" applyFont="1" applyFill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3" fontId="0" fillId="0" borderId="13" xfId="0" applyNumberFormat="1" applyBorder="1"/>
    <xf numFmtId="3" fontId="0" fillId="0" borderId="14" xfId="0" applyNumberFormat="1" applyBorder="1"/>
    <xf numFmtId="3" fontId="0" fillId="0" borderId="15" xfId="0" applyNumberFormat="1" applyBorder="1"/>
    <xf numFmtId="3" fontId="0" fillId="0" borderId="16" xfId="0" applyNumberFormat="1" applyBorder="1"/>
    <xf numFmtId="3" fontId="0" fillId="0" borderId="17" xfId="0" applyNumberForma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0" fillId="0" borderId="1" xfId="0" applyNumberFormat="1" applyBorder="1"/>
    <xf numFmtId="0" fontId="10" fillId="0" borderId="0" xfId="0" applyFont="1"/>
    <xf numFmtId="0" fontId="11" fillId="0" borderId="0" xfId="0" applyFont="1"/>
    <xf numFmtId="0" fontId="9" fillId="0" borderId="1" xfId="2" applyFont="1" applyBorder="1" applyAlignment="1">
      <alignment horizontal="center"/>
    </xf>
    <xf numFmtId="0" fontId="12" fillId="0" borderId="1" xfId="2" applyFont="1" applyBorder="1"/>
    <xf numFmtId="165" fontId="12" fillId="0" borderId="1" xfId="6" applyNumberFormat="1" applyFont="1" applyFill="1" applyBorder="1" applyAlignment="1"/>
    <xf numFmtId="0" fontId="0" fillId="0" borderId="0" xfId="0" applyBorder="1" applyAlignment="1">
      <alignment horizontal="right"/>
    </xf>
    <xf numFmtId="3" fontId="0" fillId="0" borderId="0" xfId="0" applyNumberFormat="1" applyBorder="1"/>
    <xf numFmtId="0" fontId="0" fillId="0" borderId="22" xfId="0" applyBorder="1"/>
    <xf numFmtId="0" fontId="2" fillId="0" borderId="23" xfId="0" applyFont="1" applyBorder="1" applyAlignment="1">
      <alignment horizontal="center"/>
    </xf>
    <xf numFmtId="0" fontId="0" fillId="0" borderId="24" xfId="0" applyBorder="1" applyAlignment="1">
      <alignment horizontal="right"/>
    </xf>
    <xf numFmtId="0" fontId="0" fillId="0" borderId="25" xfId="0" applyBorder="1" applyAlignment="1">
      <alignment horizontal="right"/>
    </xf>
    <xf numFmtId="0" fontId="6" fillId="0" borderId="25" xfId="2" applyFont="1" applyFill="1" applyBorder="1" applyAlignment="1">
      <alignment horizontal="right"/>
    </xf>
    <xf numFmtId="0" fontId="0" fillId="0" borderId="26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right" indent="1"/>
    </xf>
    <xf numFmtId="9" fontId="0" fillId="0" borderId="1" xfId="6" applyFont="1" applyBorder="1"/>
    <xf numFmtId="9" fontId="0" fillId="0" borderId="0" xfId="6" applyFont="1"/>
    <xf numFmtId="166" fontId="0" fillId="0" borderId="1" xfId="6" applyNumberFormat="1" applyFont="1" applyBorder="1"/>
    <xf numFmtId="3" fontId="0" fillId="0" borderId="0" xfId="0" applyNumberFormat="1"/>
    <xf numFmtId="0" fontId="0" fillId="5" borderId="25" xfId="0" applyFill="1" applyBorder="1" applyAlignment="1">
      <alignment horizontal="right"/>
    </xf>
    <xf numFmtId="3" fontId="0" fillId="5" borderId="13" xfId="0" applyNumberFormat="1" applyFill="1" applyBorder="1"/>
    <xf numFmtId="3" fontId="0" fillId="5" borderId="1" xfId="0" applyNumberFormat="1" applyFill="1" applyBorder="1"/>
    <xf numFmtId="3" fontId="0" fillId="5" borderId="14" xfId="0" applyNumberFormat="1" applyFill="1" applyBorder="1"/>
    <xf numFmtId="0" fontId="0" fillId="5" borderId="0" xfId="0" applyFill="1"/>
    <xf numFmtId="166" fontId="0" fillId="5" borderId="1" xfId="6" applyNumberFormat="1" applyFont="1" applyFill="1" applyBorder="1"/>
    <xf numFmtId="9" fontId="0" fillId="0" borderId="13" xfId="6" applyFont="1" applyBorder="1"/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right" vertical="center" indent="1"/>
    </xf>
    <xf numFmtId="165" fontId="0" fillId="0" borderId="0" xfId="6" applyNumberFormat="1" applyFont="1"/>
    <xf numFmtId="3" fontId="0" fillId="4" borderId="14" xfId="0" applyNumberFormat="1" applyFill="1" applyBorder="1"/>
    <xf numFmtId="0" fontId="0" fillId="0" borderId="22" xfId="0" applyFill="1" applyBorder="1"/>
    <xf numFmtId="0" fontId="2" fillId="0" borderId="10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2" fillId="0" borderId="18" xfId="0" applyFont="1" applyFill="1" applyBorder="1" applyAlignment="1">
      <alignment horizontal="center"/>
    </xf>
    <xf numFmtId="0" fontId="2" fillId="0" borderId="19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0" fontId="2" fillId="0" borderId="20" xfId="0" applyFont="1" applyFill="1" applyBorder="1" applyAlignment="1">
      <alignment horizontal="center"/>
    </xf>
    <xf numFmtId="0" fontId="2" fillId="0" borderId="23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4" xfId="0" applyFont="1" applyFill="1" applyBorder="1" applyAlignment="1">
      <alignment horizontal="center"/>
    </xf>
    <xf numFmtId="0" fontId="0" fillId="0" borderId="24" xfId="0" applyFill="1" applyBorder="1" applyAlignment="1">
      <alignment horizontal="right"/>
    </xf>
    <xf numFmtId="3" fontId="0" fillId="0" borderId="13" xfId="0" applyNumberFormat="1" applyFill="1" applyBorder="1"/>
    <xf numFmtId="3" fontId="0" fillId="0" borderId="1" xfId="0" applyNumberFormat="1" applyFill="1" applyBorder="1"/>
    <xf numFmtId="3" fontId="0" fillId="0" borderId="14" xfId="0" applyNumberFormat="1" applyFill="1" applyBorder="1"/>
    <xf numFmtId="0" fontId="0" fillId="0" borderId="25" xfId="0" applyFill="1" applyBorder="1" applyAlignment="1">
      <alignment horizontal="right"/>
    </xf>
    <xf numFmtId="0" fontId="0" fillId="0" borderId="26" xfId="0" applyFill="1" applyBorder="1" applyAlignment="1">
      <alignment horizontal="right"/>
    </xf>
    <xf numFmtId="3" fontId="0" fillId="0" borderId="15" xfId="0" applyNumberFormat="1" applyFill="1" applyBorder="1"/>
    <xf numFmtId="3" fontId="0" fillId="0" borderId="16" xfId="0" applyNumberFormat="1" applyFill="1" applyBorder="1"/>
    <xf numFmtId="3" fontId="0" fillId="0" borderId="17" xfId="0" applyNumberFormat="1" applyFill="1" applyBorder="1"/>
    <xf numFmtId="0" fontId="0" fillId="0" borderId="0" xfId="0" applyFill="1" applyBorder="1" applyAlignment="1">
      <alignment horizontal="right"/>
    </xf>
    <xf numFmtId="3" fontId="0" fillId="0" borderId="0" xfId="0" applyNumberFormat="1" applyFill="1" applyBorder="1"/>
    <xf numFmtId="0" fontId="2" fillId="0" borderId="0" xfId="0" applyFont="1" applyFill="1"/>
    <xf numFmtId="0" fontId="0" fillId="0" borderId="0" xfId="0" applyFill="1"/>
    <xf numFmtId="9" fontId="0" fillId="0" borderId="1" xfId="6" applyFont="1" applyFill="1" applyBorder="1"/>
    <xf numFmtId="9" fontId="0" fillId="0" borderId="0" xfId="6" applyFont="1" applyFill="1"/>
    <xf numFmtId="166" fontId="0" fillId="0" borderId="1" xfId="6" applyNumberFormat="1" applyFont="1" applyFill="1" applyBorder="1"/>
    <xf numFmtId="3" fontId="0" fillId="0" borderId="0" xfId="0" applyNumberFormat="1" applyFill="1"/>
    <xf numFmtId="165" fontId="0" fillId="0" borderId="0" xfId="6" applyNumberFormat="1" applyFont="1" applyFill="1"/>
    <xf numFmtId="3" fontId="0" fillId="0" borderId="27" xfId="0" applyNumberFormat="1" applyFill="1" applyBorder="1"/>
    <xf numFmtId="3" fontId="0" fillId="0" borderId="28" xfId="0" applyNumberFormat="1" applyFill="1" applyBorder="1"/>
    <xf numFmtId="3" fontId="0" fillId="0" borderId="29" xfId="0" applyNumberFormat="1" applyFill="1" applyBorder="1"/>
    <xf numFmtId="0" fontId="2" fillId="0" borderId="30" xfId="0" applyFont="1" applyFill="1" applyBorder="1" applyAlignment="1">
      <alignment horizontal="center"/>
    </xf>
    <xf numFmtId="0" fontId="2" fillId="0" borderId="15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/>
    </xf>
    <xf numFmtId="0" fontId="2" fillId="0" borderId="17" xfId="0" applyFont="1" applyFill="1" applyBorder="1" applyAlignment="1">
      <alignment horizontal="center"/>
    </xf>
    <xf numFmtId="9" fontId="0" fillId="0" borderId="27" xfId="6" applyFont="1" applyBorder="1"/>
    <xf numFmtId="0" fontId="2" fillId="0" borderId="30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</cellXfs>
  <cellStyles count="7">
    <cellStyle name="Comma 3 2" xfId="3" xr:uid="{C6C0E038-17CD-42D1-B194-45303A27CBEB}"/>
    <cellStyle name="Comma 3 2 2" xfId="5" xr:uid="{6FC5AD22-1D91-4F8E-A4CF-F7225105A1E2}"/>
    <cellStyle name="Hyperlink" xfId="1" builtinId="8"/>
    <cellStyle name="Normal" xfId="0" builtinId="0"/>
    <cellStyle name="Normal 3 2" xfId="2" xr:uid="{C6AC9FB4-6D61-4C4A-90D2-C72D3433F22A}"/>
    <cellStyle name="Normal 3 2 2" xfId="4" xr:uid="{224A31ED-40BD-4791-B62B-2B99CDBC6F0F}"/>
    <cellStyle name="Percent" xfId="6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yiso.com/documents/20142/32810936/2021-2040_System_Resource_Outlook_Data.xlsx/86359d07-fd48-4544-24c3-8049bb0f1d23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cell.com/joule/fulltext/S2542-4351(22)00405-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4A850-13F1-4598-A35C-5CB0DD17AC7C}">
  <sheetPr>
    <pageSetUpPr fitToPage="1"/>
  </sheetPr>
  <dimension ref="B2:AT41"/>
  <sheetViews>
    <sheetView zoomScale="95" zoomScaleNormal="95" workbookViewId="0">
      <selection sqref="A1:XFD1048576"/>
    </sheetView>
  </sheetViews>
  <sheetFormatPr defaultRowHeight="14.4" x14ac:dyDescent="0.3"/>
  <cols>
    <col min="1" max="1" width="2.33203125" customWidth="1"/>
    <col min="2" max="2" width="8.6640625" bestFit="1" customWidth="1"/>
    <col min="3" max="14" width="7.77734375" bestFit="1" customWidth="1"/>
    <col min="15" max="18" width="9" customWidth="1"/>
    <col min="19" max="22" width="7.77734375" bestFit="1" customWidth="1"/>
    <col min="24" max="24" width="0" hidden="1" customWidth="1"/>
    <col min="25" max="27" width="6.6640625" hidden="1" customWidth="1"/>
    <col min="28" max="28" width="5.5546875" hidden="1" customWidth="1"/>
    <col min="29" max="39" width="6.6640625" hidden="1" customWidth="1"/>
    <col min="40" max="45" width="0" hidden="1" customWidth="1"/>
  </cols>
  <sheetData>
    <row r="2" spans="2:46" ht="15" thickBot="1" x14ac:dyDescent="0.35">
      <c r="B2" s="2" t="s">
        <v>61</v>
      </c>
      <c r="X2" s="2" t="s">
        <v>61</v>
      </c>
    </row>
    <row r="3" spans="2:46" x14ac:dyDescent="0.3">
      <c r="B3" s="57"/>
      <c r="C3" s="76" t="s">
        <v>59</v>
      </c>
      <c r="D3" s="77"/>
      <c r="E3" s="77"/>
      <c r="F3" s="78"/>
      <c r="G3" s="76" t="s">
        <v>60</v>
      </c>
      <c r="H3" s="77"/>
      <c r="I3" s="77"/>
      <c r="J3" s="78"/>
      <c r="K3" s="79" t="s">
        <v>49</v>
      </c>
      <c r="L3" s="80"/>
      <c r="M3" s="81"/>
      <c r="N3" s="82"/>
      <c r="O3" s="79" t="s">
        <v>51</v>
      </c>
      <c r="P3" s="80"/>
      <c r="Q3" s="81"/>
      <c r="R3" s="82"/>
      <c r="S3" s="79" t="s">
        <v>52</v>
      </c>
      <c r="T3" s="80"/>
      <c r="U3" s="81"/>
      <c r="V3" s="82"/>
      <c r="X3" s="57"/>
      <c r="Y3" s="77" t="s">
        <v>117</v>
      </c>
      <c r="Z3" s="77"/>
      <c r="AA3" s="78"/>
      <c r="AB3" s="77" t="s">
        <v>118</v>
      </c>
      <c r="AC3" s="77"/>
      <c r="AD3" s="78"/>
      <c r="AE3" s="80" t="s">
        <v>119</v>
      </c>
      <c r="AF3" s="81"/>
      <c r="AG3" s="82"/>
      <c r="AH3" s="80" t="s">
        <v>120</v>
      </c>
      <c r="AI3" s="81"/>
      <c r="AJ3" s="82"/>
      <c r="AK3" s="80" t="s">
        <v>121</v>
      </c>
      <c r="AL3" s="81"/>
      <c r="AM3" s="82"/>
    </row>
    <row r="4" spans="2:46" x14ac:dyDescent="0.3">
      <c r="B4" s="58" t="s">
        <v>1</v>
      </c>
      <c r="C4" s="40">
        <v>2019</v>
      </c>
      <c r="D4" s="47">
        <v>2030</v>
      </c>
      <c r="E4" s="47">
        <v>2035</v>
      </c>
      <c r="F4" s="41">
        <v>2040</v>
      </c>
      <c r="G4" s="40">
        <v>2019</v>
      </c>
      <c r="H4" s="47">
        <v>2030</v>
      </c>
      <c r="I4" s="47">
        <v>2035</v>
      </c>
      <c r="J4" s="41">
        <v>2040</v>
      </c>
      <c r="K4" s="40">
        <v>2020</v>
      </c>
      <c r="L4" s="47">
        <v>2030</v>
      </c>
      <c r="M4" s="47">
        <v>2035</v>
      </c>
      <c r="N4" s="41">
        <v>2040</v>
      </c>
      <c r="O4" s="40">
        <v>2020</v>
      </c>
      <c r="P4" s="47">
        <v>2030</v>
      </c>
      <c r="Q4" s="47">
        <v>2035</v>
      </c>
      <c r="R4" s="41">
        <v>2040</v>
      </c>
      <c r="S4" s="40">
        <v>2020</v>
      </c>
      <c r="T4" s="47">
        <v>2030</v>
      </c>
      <c r="U4" s="47">
        <v>2035</v>
      </c>
      <c r="V4" s="41">
        <v>2040</v>
      </c>
      <c r="X4" s="58" t="s">
        <v>1</v>
      </c>
      <c r="Y4" s="48">
        <v>2030</v>
      </c>
      <c r="Z4" s="48">
        <v>2035</v>
      </c>
      <c r="AA4" s="41">
        <v>2040</v>
      </c>
      <c r="AB4" s="48">
        <v>2030</v>
      </c>
      <c r="AC4" s="48">
        <v>2035</v>
      </c>
      <c r="AD4" s="41">
        <v>2040</v>
      </c>
      <c r="AE4" s="48">
        <v>2030</v>
      </c>
      <c r="AF4" s="48">
        <v>2035</v>
      </c>
      <c r="AG4" s="41">
        <v>2040</v>
      </c>
      <c r="AH4" s="48">
        <v>2030</v>
      </c>
      <c r="AI4" s="48">
        <v>2035</v>
      </c>
      <c r="AJ4" s="41">
        <v>2040</v>
      </c>
      <c r="AK4" s="48">
        <v>2030</v>
      </c>
      <c r="AL4" s="48">
        <v>2035</v>
      </c>
      <c r="AM4" s="41">
        <v>2040</v>
      </c>
    </row>
    <row r="5" spans="2:46" x14ac:dyDescent="0.3">
      <c r="B5" s="59" t="s">
        <v>2</v>
      </c>
      <c r="C5" s="42">
        <f>NYISO!B8</f>
        <v>5400.1000976562555</v>
      </c>
      <c r="D5" s="5">
        <f>NYISO!D8</f>
        <v>3363.5</v>
      </c>
      <c r="E5" s="5">
        <f>NYISO!E8</f>
        <v>3364.2</v>
      </c>
      <c r="F5" s="43">
        <f>NYISO!F8</f>
        <v>3364.2</v>
      </c>
      <c r="G5" s="42">
        <f>NYISO!I8</f>
        <v>5400.1000976562555</v>
      </c>
      <c r="H5" s="5">
        <f>NYISO!K8</f>
        <v>3346.1</v>
      </c>
      <c r="I5" s="5">
        <f>NYISO!L8</f>
        <v>3364.2</v>
      </c>
      <c r="J5" s="43">
        <f>NYISO!M8</f>
        <v>3364.2</v>
      </c>
      <c r="K5" s="42">
        <f>'Integration Analysis'!D4</f>
        <v>4860.2</v>
      </c>
      <c r="L5" s="5">
        <f>'Integration Analysis'!F4</f>
        <v>3355.2</v>
      </c>
      <c r="M5" s="5">
        <f>'Integration Analysis'!G4</f>
        <v>3355.2</v>
      </c>
      <c r="N5" s="43">
        <f>'Integration Analysis'!H4</f>
        <v>3355.2</v>
      </c>
      <c r="O5" s="42">
        <f>'Integration Analysis'!D22</f>
        <v>4860.2</v>
      </c>
      <c r="P5" s="5">
        <f>'Integration Analysis'!F22</f>
        <v>3355.2</v>
      </c>
      <c r="Q5" s="5">
        <f>'Integration Analysis'!G22</f>
        <v>3355.2</v>
      </c>
      <c r="R5" s="43">
        <f>'Integration Analysis'!H22</f>
        <v>3355.2</v>
      </c>
      <c r="S5" s="42">
        <f>'Integration Analysis'!D40</f>
        <v>4860.2</v>
      </c>
      <c r="T5" s="5">
        <f>'Integration Analysis'!F40</f>
        <v>3355.2</v>
      </c>
      <c r="U5" s="5">
        <f>'Integration Analysis'!G40</f>
        <v>3355.2</v>
      </c>
      <c r="V5" s="43">
        <f>'Integration Analysis'!H40</f>
        <v>3355.2</v>
      </c>
      <c r="X5" s="59" t="s">
        <v>2</v>
      </c>
      <c r="Y5" s="65">
        <f>(D5-C5)/C5</f>
        <v>-0.37714117531639424</v>
      </c>
      <c r="Z5" s="65">
        <f>(E5-C5)/C5</f>
        <v>-0.37701154808961307</v>
      </c>
      <c r="AA5" s="65">
        <f>(F5-C5)/C5</f>
        <v>-0.37701154808961307</v>
      </c>
      <c r="AB5" s="65">
        <f>(H5-G5)/G5</f>
        <v>-0.3803633378106695</v>
      </c>
      <c r="AC5" s="65">
        <f>(I5-G5)/G5</f>
        <v>-0.37701154808961307</v>
      </c>
      <c r="AD5" s="65">
        <f>(J5-G5)/G5</f>
        <v>-0.37701154808961307</v>
      </c>
      <c r="AE5" s="65">
        <f>(L5-K5)/K5</f>
        <v>-0.30965803876383691</v>
      </c>
      <c r="AF5" s="65">
        <f>(M5-K5)/K5</f>
        <v>-0.30965803876383691</v>
      </c>
      <c r="AG5" s="65">
        <f>(N5-K5)/K5</f>
        <v>-0.30965803876383691</v>
      </c>
      <c r="AH5" s="65">
        <f>(P5-O5)/O5</f>
        <v>-0.30965803876383691</v>
      </c>
      <c r="AI5" s="65">
        <f>(Q5-O5)/O5</f>
        <v>-0.30965803876383691</v>
      </c>
      <c r="AJ5" s="65">
        <f>(R5-O5)/O5</f>
        <v>-0.30965803876383691</v>
      </c>
      <c r="AK5" s="65">
        <f>(T5-S5)/S5</f>
        <v>-0.30965803876383691</v>
      </c>
      <c r="AL5" s="65">
        <f>(U5-S5)/S5</f>
        <v>-0.30965803876383691</v>
      </c>
      <c r="AM5" s="65">
        <f>(V5-S5)/S5</f>
        <v>-0.30965803876383691</v>
      </c>
    </row>
    <row r="6" spans="2:46" x14ac:dyDescent="0.3">
      <c r="B6" s="60" t="s">
        <v>3</v>
      </c>
      <c r="C6" s="42">
        <f>NYISO!B9</f>
        <v>26262</v>
      </c>
      <c r="D6" s="5">
        <f>NYISO!D9</f>
        <v>21231.699999999997</v>
      </c>
      <c r="E6" s="5">
        <f>NYISO!E9</f>
        <v>21233.699999999997</v>
      </c>
      <c r="F6" s="43">
        <f>NYISO!F9</f>
        <v>0</v>
      </c>
      <c r="G6" s="42">
        <f>NYISO!I9</f>
        <v>26262</v>
      </c>
      <c r="H6" s="5">
        <f>NYISO!K9</f>
        <v>17650</v>
      </c>
      <c r="I6" s="5">
        <f>NYISO!L9</f>
        <v>16070.539999999997</v>
      </c>
      <c r="J6" s="43">
        <f>NYISO!M9</f>
        <v>0</v>
      </c>
      <c r="K6" s="42">
        <f>'Integration Analysis'!D5</f>
        <v>26388.100000000002</v>
      </c>
      <c r="L6" s="5">
        <f>'Integration Analysis'!F5</f>
        <v>21578.919999999995</v>
      </c>
      <c r="M6" s="5">
        <f>'Integration Analysis'!G5</f>
        <v>18078.2</v>
      </c>
      <c r="N6" s="43">
        <f>'Integration Analysis'!H5</f>
        <v>0</v>
      </c>
      <c r="O6" s="42">
        <f>'Integration Analysis'!D23</f>
        <v>26388.100000000002</v>
      </c>
      <c r="P6" s="5">
        <f>'Integration Analysis'!F23</f>
        <v>22397.679999999997</v>
      </c>
      <c r="Q6" s="5">
        <f>'Integration Analysis'!G23</f>
        <v>14292.330000000002</v>
      </c>
      <c r="R6" s="43">
        <f>'Integration Analysis'!H23</f>
        <v>0</v>
      </c>
      <c r="S6" s="42">
        <f>'Integration Analysis'!D41</f>
        <v>26388.100000000002</v>
      </c>
      <c r="T6" s="5">
        <f>'Integration Analysis'!F41</f>
        <v>21579.049999999996</v>
      </c>
      <c r="U6" s="5">
        <f>'Integration Analysis'!G41</f>
        <v>20326.409999999996</v>
      </c>
      <c r="V6" s="43">
        <f>'Integration Analysis'!H41</f>
        <v>0</v>
      </c>
      <c r="X6" s="60" t="s">
        <v>3</v>
      </c>
      <c r="Y6" s="65">
        <f>(D6-C6)/C6</f>
        <v>-0.19154291371563487</v>
      </c>
      <c r="Z6" s="65">
        <f>(E6-C6)/C6</f>
        <v>-0.19146675805346139</v>
      </c>
      <c r="AA6" s="65">
        <f>(F6-C6)/C6</f>
        <v>-1</v>
      </c>
      <c r="AB6" s="65">
        <f t="shared" ref="AB6" si="0">(H6-G6)/G6</f>
        <v>-0.32792628131901608</v>
      </c>
      <c r="AC6" s="65">
        <f t="shared" ref="AC6" si="1">(I6-G6)/G6</f>
        <v>-0.38806869240728059</v>
      </c>
      <c r="AD6" s="65">
        <f t="shared" ref="AD6" si="2">(J6-G6)/G6</f>
        <v>-1</v>
      </c>
      <c r="AE6" s="65">
        <f t="shared" ref="AE6" si="3">(L6-K6)/K6</f>
        <v>-0.18224805878407341</v>
      </c>
      <c r="AF6" s="65">
        <f t="shared" ref="AF6" si="4">(M6-K6)/K6</f>
        <v>-0.3149108878623319</v>
      </c>
      <c r="AG6" s="65">
        <f t="shared" ref="AG6" si="5">(N6-K6)/K6</f>
        <v>-1</v>
      </c>
      <c r="AH6" s="65">
        <f t="shared" ref="AH6" si="6">(P6-O6)/O6</f>
        <v>-0.15122043648462774</v>
      </c>
      <c r="AI6" s="65">
        <f t="shared" ref="AI6" si="7">(Q6-O6)/O6</f>
        <v>-0.45837972419386008</v>
      </c>
      <c r="AJ6" s="65">
        <f t="shared" ref="AJ6" si="8">(R6-O6)/O6</f>
        <v>-1</v>
      </c>
      <c r="AK6" s="65">
        <f t="shared" ref="AK6" si="9">(T6-S6)/S6</f>
        <v>-0.18224313232100856</v>
      </c>
      <c r="AL6" s="65">
        <f t="shared" ref="AL6" si="10">(U6-S6)/S6</f>
        <v>-0.22971301457854129</v>
      </c>
      <c r="AM6" s="65">
        <f t="shared" ref="AM6" si="11">(V6-S6)/S6</f>
        <v>-1</v>
      </c>
      <c r="AO6" s="66">
        <f>(I6-H6)/H6</f>
        <v>-8.9487818696884006E-2</v>
      </c>
    </row>
    <row r="7" spans="2:46" x14ac:dyDescent="0.3">
      <c r="B7" s="61" t="s">
        <v>7</v>
      </c>
      <c r="C7" s="42">
        <f>NYISO!B13</f>
        <v>6330.7198569271704</v>
      </c>
      <c r="D7" s="5">
        <f>NYISO!D13</f>
        <v>7537.06</v>
      </c>
      <c r="E7" s="5">
        <f>NYISO!E13</f>
        <v>7539.6600000000008</v>
      </c>
      <c r="F7" s="43">
        <f>NYISO!F13</f>
        <v>7540.06</v>
      </c>
      <c r="G7" s="42">
        <f>NYISO!I13</f>
        <v>6330.7198569271704</v>
      </c>
      <c r="H7" s="5">
        <f>NYISO!K13</f>
        <v>7660.27</v>
      </c>
      <c r="I7" s="5">
        <f>NYISO!L13</f>
        <v>7583.76</v>
      </c>
      <c r="J7" s="43">
        <f>NYISO!M13</f>
        <v>7584.1600000000008</v>
      </c>
      <c r="K7" s="42">
        <f>'Integration Analysis'!D8+'Integration Analysis'!D9+'Integration Analysis'!D10</f>
        <v>5753.8600000000006</v>
      </c>
      <c r="L7" s="5">
        <f>'Integration Analysis'!F8+'Integration Analysis'!F9+'Integration Analysis'!F10</f>
        <v>7344.8600000000006</v>
      </c>
      <c r="M7" s="5">
        <f>'Integration Analysis'!G8+'Integration Analysis'!G9+'Integration Analysis'!G10</f>
        <v>7344.8600000000006</v>
      </c>
      <c r="N7" s="43">
        <f>'Integration Analysis'!H8+'Integration Analysis'!H9+'Integration Analysis'!H10</f>
        <v>7348.1900000000005</v>
      </c>
      <c r="O7" s="42">
        <f>'Integration Analysis'!D26+'Integration Analysis'!D27+'Integration Analysis'!D28</f>
        <v>5753.8600000000006</v>
      </c>
      <c r="P7" s="5">
        <f>'Integration Analysis'!F26+'Integration Analysis'!F27+'Integration Analysis'!F28</f>
        <v>7344.8600000000006</v>
      </c>
      <c r="Q7" s="5">
        <f>'Integration Analysis'!G26+'Integration Analysis'!G27+'Integration Analysis'!G28</f>
        <v>7348.1900000000005</v>
      </c>
      <c r="R7" s="43">
        <f>'Integration Analysis'!H26+'Integration Analysis'!H27+'Integration Analysis'!H28</f>
        <v>7348.1900000000005</v>
      </c>
      <c r="S7" s="42">
        <f>'Integration Analysis'!D44+'Integration Analysis'!D45+'Integration Analysis'!D46</f>
        <v>5753.8600000000006</v>
      </c>
      <c r="T7" s="5">
        <f>'Integration Analysis'!F44+'Integration Analysis'!F45+'Integration Analysis'!F46</f>
        <v>7344.8600000000006</v>
      </c>
      <c r="U7" s="5">
        <f>'Integration Analysis'!G44+'Integration Analysis'!G45+'Integration Analysis'!G46</f>
        <v>7348.1900000000005</v>
      </c>
      <c r="V7" s="43">
        <f>'Integration Analysis'!H44+'Integration Analysis'!H45+'Integration Analysis'!H46</f>
        <v>7348.1900000000005</v>
      </c>
      <c r="X7" s="61" t="s">
        <v>7</v>
      </c>
      <c r="Y7" s="65">
        <f>(D7-C7)/C7</f>
        <v>0.19055339208428787</v>
      </c>
      <c r="Z7" s="65">
        <f>(E7-C7)/C7</f>
        <v>0.19096408787540797</v>
      </c>
      <c r="AA7" s="65">
        <f>(F7-C7)/C7</f>
        <v>0.19102727184327253</v>
      </c>
      <c r="AB7" s="65">
        <f>(H7-G7)/G7</f>
        <v>0.21001563378578755</v>
      </c>
      <c r="AC7" s="65">
        <f>(I7-G7)/G7</f>
        <v>0.19793012033248228</v>
      </c>
      <c r="AD7" s="65">
        <f>(J7-G7)/G7</f>
        <v>0.19799330430034698</v>
      </c>
      <c r="AE7" s="65">
        <f>(L7-K7)/K7</f>
        <v>0.27651002978869832</v>
      </c>
      <c r="AF7" s="65">
        <f>(M7-K7)/K7</f>
        <v>0.27651002978869832</v>
      </c>
      <c r="AG7" s="65">
        <f>(N7-K7)/K7</f>
        <v>0.27708877171151186</v>
      </c>
      <c r="AH7" s="65">
        <f>(P7-O7)/O7</f>
        <v>0.27651002978869832</v>
      </c>
      <c r="AI7" s="65">
        <f>(Q7-O7)/O7</f>
        <v>0.27708877171151186</v>
      </c>
      <c r="AJ7" s="65">
        <f>(R7-O7)/O7</f>
        <v>0.27708877171151186</v>
      </c>
      <c r="AK7" s="65">
        <f>(T7-S7)/S7</f>
        <v>0.27651002978869832</v>
      </c>
      <c r="AL7" s="65">
        <f>(U7-S7)/S7</f>
        <v>0.27708877171151186</v>
      </c>
      <c r="AM7" s="65">
        <f>(V7-S7)/S7</f>
        <v>0.27708877171151186</v>
      </c>
    </row>
    <row r="8" spans="2:46" x14ac:dyDescent="0.3">
      <c r="B8" s="60" t="s">
        <v>8</v>
      </c>
      <c r="C8" s="42">
        <f>NYISO!B14</f>
        <v>1985.3000025749204</v>
      </c>
      <c r="D8" s="5">
        <f>NYISO!D14</f>
        <v>9086.2000000000007</v>
      </c>
      <c r="E8" s="5">
        <f>NYISO!E14</f>
        <v>12611.900000000001</v>
      </c>
      <c r="F8" s="43">
        <f>NYISO!F14</f>
        <v>19087.2</v>
      </c>
      <c r="G8" s="42">
        <f>NYISO!I14</f>
        <v>1985.3000025749204</v>
      </c>
      <c r="H8" s="5">
        <f>NYISO!K14</f>
        <v>5889.83</v>
      </c>
      <c r="I8" s="5">
        <f>NYISO!L14</f>
        <v>12366.400000000001</v>
      </c>
      <c r="J8" s="43">
        <f>NYISO!M14</f>
        <v>19087.2</v>
      </c>
      <c r="K8" s="42">
        <f>'Integration Analysis'!D11+'Integration Analysis'!D12</f>
        <v>1916.9</v>
      </c>
      <c r="L8" s="5">
        <f>'Integration Analysis'!F11+'Integration Analysis'!F12</f>
        <v>5573.93</v>
      </c>
      <c r="M8" s="5">
        <f>'Integration Analysis'!G11+'Integration Analysis'!G12</f>
        <v>10059.83</v>
      </c>
      <c r="N8" s="43">
        <f>'Integration Analysis'!H11+'Integration Analysis'!H12</f>
        <v>12242.199999999997</v>
      </c>
      <c r="O8" s="42">
        <f>'Integration Analysis'!D29+'Integration Analysis'!D30</f>
        <v>1916.9</v>
      </c>
      <c r="P8" s="5">
        <f>'Integration Analysis'!F29+'Integration Analysis'!F30</f>
        <v>7021.130000000001</v>
      </c>
      <c r="Q8" s="5">
        <f>'Integration Analysis'!G29+'Integration Analysis'!G30</f>
        <v>10668.140000000001</v>
      </c>
      <c r="R8" s="43">
        <f>'Integration Analysis'!H29+'Integration Analysis'!H30</f>
        <v>12522.63</v>
      </c>
      <c r="S8" s="42">
        <f>'Integration Analysis'!D47+'Integration Analysis'!D48</f>
        <v>1916.9</v>
      </c>
      <c r="T8" s="5">
        <f>'Integration Analysis'!F47+'Integration Analysis'!F48</f>
        <v>6508.4199999999992</v>
      </c>
      <c r="U8" s="5">
        <f>'Integration Analysis'!G47+'Integration Analysis'!G48</f>
        <v>10461.43</v>
      </c>
      <c r="V8" s="43">
        <f>'Integration Analysis'!H47+'Integration Analysis'!H48</f>
        <v>12679.250000000002</v>
      </c>
      <c r="X8" s="60" t="s">
        <v>8</v>
      </c>
      <c r="Y8" s="67">
        <f>(D8-C8)/C8</f>
        <v>3.5767390259483514</v>
      </c>
      <c r="Z8" s="67">
        <f>(E8-C8)/C8</f>
        <v>5.3526419098586882</v>
      </c>
      <c r="AA8" s="67">
        <f>(F8-C8)/C8</f>
        <v>8.6142648341530421</v>
      </c>
      <c r="AB8" s="67">
        <f t="shared" ref="AB8" si="12">(H8-G8)/G8</f>
        <v>1.9667203910547175</v>
      </c>
      <c r="AC8" s="67">
        <f t="shared" ref="AC8" si="13">(I8-G8)/G8</f>
        <v>5.2289830171565335</v>
      </c>
      <c r="AD8" s="67">
        <f t="shared" ref="AD8" si="14">(J8-G8)/G8</f>
        <v>8.6142648341530421</v>
      </c>
      <c r="AE8" s="67">
        <f t="shared" ref="AE8" si="15">(L8-K8)/K8</f>
        <v>1.9077834002817049</v>
      </c>
      <c r="AF8" s="67">
        <f t="shared" ref="AF8" si="16">(M8-K8)/K8</f>
        <v>4.2479680734519274</v>
      </c>
      <c r="AG8" s="67">
        <f t="shared" ref="AG8" si="17">(N8-K8)/K8</f>
        <v>5.3864573008503296</v>
      </c>
      <c r="AH8" s="67">
        <f t="shared" ref="AH8" si="18">(P8-O8)/O8</f>
        <v>2.6627523605821906</v>
      </c>
      <c r="AI8" s="67">
        <f t="shared" ref="AI8" si="19">(Q8-O8)/O8</f>
        <v>4.5653085711304717</v>
      </c>
      <c r="AJ8" s="67">
        <f t="shared" ref="AJ8" si="20">(R8-O8)/O8</f>
        <v>5.532750795555323</v>
      </c>
      <c r="AK8" s="67">
        <f t="shared" ref="AK8" si="21">(T8-S8)/S8</f>
        <v>2.3952840523762315</v>
      </c>
      <c r="AL8" s="67">
        <f t="shared" ref="AL8" si="22">(U8-S8)/S8</f>
        <v>4.4574730032865562</v>
      </c>
      <c r="AM8" s="67">
        <f t="shared" ref="AM8" si="23">(V8-S8)/S8</f>
        <v>5.6144556314883411</v>
      </c>
      <c r="AO8" s="68">
        <f>AVERAGE(F8,J8)</f>
        <v>19087.2</v>
      </c>
      <c r="AP8" s="68">
        <f>AVERAGE(N8,R8,V8)</f>
        <v>12481.359999999999</v>
      </c>
      <c r="AQ8" s="68">
        <f>AO8-AP8</f>
        <v>6605.840000000002</v>
      </c>
      <c r="AR8" s="66">
        <f>AQ8/AP8</f>
        <v>0.52925642718421728</v>
      </c>
    </row>
    <row r="9" spans="2:46" x14ac:dyDescent="0.3">
      <c r="B9" s="60" t="s">
        <v>9</v>
      </c>
      <c r="C9" s="42">
        <f>NYISO!B15</f>
        <v>0</v>
      </c>
      <c r="D9" s="5">
        <f>NYISO!D15</f>
        <v>5036</v>
      </c>
      <c r="E9" s="5">
        <f>NYISO!E15</f>
        <v>9000</v>
      </c>
      <c r="F9" s="43">
        <f>NYISO!F15</f>
        <v>9000</v>
      </c>
      <c r="G9" s="42">
        <f>NYISO!I15</f>
        <v>0</v>
      </c>
      <c r="H9" s="5">
        <f>NYISO!K15</f>
        <v>7436</v>
      </c>
      <c r="I9" s="5">
        <f>NYISO!L15</f>
        <v>9000</v>
      </c>
      <c r="J9" s="43">
        <f>NYISO!M15</f>
        <v>9720</v>
      </c>
      <c r="K9" s="42">
        <f>'Integration Analysis'!D13</f>
        <v>0</v>
      </c>
      <c r="L9" s="5">
        <f>'Integration Analysis'!F13</f>
        <v>6200</v>
      </c>
      <c r="M9" s="5">
        <f>'Integration Analysis'!G13</f>
        <v>9906.4</v>
      </c>
      <c r="N9" s="43">
        <f>'Integration Analysis'!H13</f>
        <v>14363.650000000001</v>
      </c>
      <c r="O9" s="42">
        <f>'Integration Analysis'!D31</f>
        <v>0</v>
      </c>
      <c r="P9" s="5">
        <f>'Integration Analysis'!F31</f>
        <v>6600</v>
      </c>
      <c r="Q9" s="5">
        <f>'Integration Analysis'!G31</f>
        <v>10422.76</v>
      </c>
      <c r="R9" s="43">
        <f>'Integration Analysis'!H31</f>
        <v>16756.489999999998</v>
      </c>
      <c r="S9" s="42">
        <f>'Integration Analysis'!D49</f>
        <v>0</v>
      </c>
      <c r="T9" s="5">
        <f>'Integration Analysis'!F49</f>
        <v>6600</v>
      </c>
      <c r="U9" s="5">
        <f>'Integration Analysis'!G49</f>
        <v>9967.44</v>
      </c>
      <c r="V9" s="43">
        <f>'Integration Analysis'!H49</f>
        <v>15874.669999999998</v>
      </c>
      <c r="X9" s="60" t="s">
        <v>9</v>
      </c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O9" s="68">
        <f>AVERAGE(F9,J9)</f>
        <v>9360</v>
      </c>
      <c r="AP9" s="68">
        <f>AVERAGE(N9,R9,V9)</f>
        <v>15664.936666666666</v>
      </c>
      <c r="AQ9" s="68">
        <f>AO9-AP9</f>
        <v>-6304.9366666666665</v>
      </c>
      <c r="AR9" s="66">
        <f>AQ9/AP9</f>
        <v>-0.40248721082179073</v>
      </c>
    </row>
    <row r="10" spans="2:46" x14ac:dyDescent="0.3">
      <c r="B10" s="69" t="s">
        <v>38</v>
      </c>
      <c r="C10" s="70">
        <f>NYISO!B16+NYISO!B17</f>
        <v>2147.5</v>
      </c>
      <c r="D10" s="71">
        <f>NYISO!D16+NYISO!D17</f>
        <v>14731.099999999999</v>
      </c>
      <c r="E10" s="71">
        <f>NYISO!E16+NYISO!E17</f>
        <v>15504.099999999999</v>
      </c>
      <c r="F10" s="72">
        <f>NYISO!F16+NYISO!F17</f>
        <v>15874.099999999999</v>
      </c>
      <c r="G10" s="70">
        <f>NYISO!I16+NYISO!I17</f>
        <v>2147.5</v>
      </c>
      <c r="H10" s="71">
        <f>NYISO!K16+NYISO!K17</f>
        <v>14199.099999999999</v>
      </c>
      <c r="I10" s="71">
        <f>NYISO!L16+NYISO!L17</f>
        <v>25049.09</v>
      </c>
      <c r="J10" s="72">
        <f>NYISO!M16+NYISO!M17</f>
        <v>44369.72</v>
      </c>
      <c r="K10" s="70">
        <f>'Integration Analysis'!D14</f>
        <v>2591.84</v>
      </c>
      <c r="L10" s="71">
        <f>'Integration Analysis'!F14</f>
        <v>18851.97</v>
      </c>
      <c r="M10" s="71">
        <f>'Integration Analysis'!G14</f>
        <v>28993.940000000002</v>
      </c>
      <c r="N10" s="72">
        <f>'Integration Analysis'!H14</f>
        <v>43431.95</v>
      </c>
      <c r="O10" s="70">
        <f>'Integration Analysis'!D32</f>
        <v>2591.84</v>
      </c>
      <c r="P10" s="71">
        <f>'Integration Analysis'!F32</f>
        <v>16762.46</v>
      </c>
      <c r="Q10" s="71">
        <f>'Integration Analysis'!G32</f>
        <v>28625.439999999999</v>
      </c>
      <c r="R10" s="72">
        <f>'Integration Analysis'!H32</f>
        <v>41420.310000000005</v>
      </c>
      <c r="S10" s="70">
        <f>'Integration Analysis'!D50</f>
        <v>2591.84</v>
      </c>
      <c r="T10" s="71">
        <f>'Integration Analysis'!F50</f>
        <v>18060.329999999998</v>
      </c>
      <c r="U10" s="71">
        <f>'Integration Analysis'!G50</f>
        <v>29841.480000000003</v>
      </c>
      <c r="V10" s="72">
        <f>'Integration Analysis'!H50</f>
        <v>41623.440000000002</v>
      </c>
      <c r="W10" s="73"/>
      <c r="X10" s="69" t="s">
        <v>38</v>
      </c>
      <c r="Y10" s="74">
        <f>(D10-C10)/C10</f>
        <v>5.8596507566938296</v>
      </c>
      <c r="Z10" s="74">
        <f>(E10-C10)/C10</f>
        <v>6.2196041909196733</v>
      </c>
      <c r="AA10" s="74">
        <f>(F10-C10)/C10</f>
        <v>6.3918975552968558</v>
      </c>
      <c r="AB10" s="74">
        <f t="shared" ref="AB10:AB11" si="24">(H10-G10)/G10</f>
        <v>5.6119208381839343</v>
      </c>
      <c r="AC10" s="74">
        <f t="shared" ref="AC10:AC11" si="25">(I10-G10)/G10</f>
        <v>10.664302677532014</v>
      </c>
      <c r="AD10" s="74">
        <f t="shared" ref="AD10:AD11" si="26">(J10-G10)/G10</f>
        <v>19.661103608847498</v>
      </c>
      <c r="AE10" s="74">
        <f t="shared" ref="AE10:AE11" si="27">(L10-K10)/K10</f>
        <v>6.2735855608370885</v>
      </c>
      <c r="AF10" s="74">
        <f t="shared" ref="AF10:AF11" si="28">(M10-K10)/K10</f>
        <v>10.186624174331749</v>
      </c>
      <c r="AG10" s="74">
        <f t="shared" ref="AG10:AG11" si="29">(N10-K10)/K10</f>
        <v>15.757187943700227</v>
      </c>
      <c r="AH10" s="74">
        <f t="shared" ref="AH10:AH11" si="30">(P10-O10)/O10</f>
        <v>5.467397678869065</v>
      </c>
      <c r="AI10" s="74">
        <f t="shared" ref="AI10:AI11" si="31">(Q10-O10)/O10</f>
        <v>10.044447188098029</v>
      </c>
      <c r="AJ10" s="74">
        <f t="shared" ref="AJ10:AJ11" si="32">(R10-O10)/O10</f>
        <v>14.981044354589789</v>
      </c>
      <c r="AK10" s="74">
        <f t="shared" ref="AK10:AK11" si="33">(T10-S10)/S10</f>
        <v>5.9681500401259324</v>
      </c>
      <c r="AL10" s="74">
        <f t="shared" ref="AL10:AL11" si="34">(U10-S10)/S10</f>
        <v>10.513627384406446</v>
      </c>
      <c r="AM10" s="74">
        <f t="shared" ref="AM10:AM11" si="35">(V10-S10)/S10</f>
        <v>15.059417247978272</v>
      </c>
      <c r="AO10" s="68">
        <f>F10</f>
        <v>15874.099999999999</v>
      </c>
      <c r="AP10" s="68">
        <f>AVERAGE(N10,R10,V10,J10)</f>
        <v>42711.355000000003</v>
      </c>
      <c r="AQ10" s="68">
        <f>AO10-AP10</f>
        <v>-26837.255000000005</v>
      </c>
      <c r="AR10" s="66">
        <f>AQ10/AP10</f>
        <v>-0.62834005149216177</v>
      </c>
    </row>
    <row r="11" spans="2:46" x14ac:dyDescent="0.3">
      <c r="B11" s="60" t="s">
        <v>12</v>
      </c>
      <c r="C11" s="42">
        <f>NYISO!B18</f>
        <v>1405.09997558594</v>
      </c>
      <c r="D11" s="5">
        <f>NYISO!D18</f>
        <v>4409.8999999999996</v>
      </c>
      <c r="E11" s="5">
        <f>NYISO!E18</f>
        <v>5792.57</v>
      </c>
      <c r="F11" s="43">
        <f>NYISO!F18</f>
        <v>11450.029999999999</v>
      </c>
      <c r="G11" s="42">
        <f>NYISO!I18</f>
        <v>1405.09997558594</v>
      </c>
      <c r="H11" s="5">
        <f>NYISO!K18</f>
        <v>4409.8999999999996</v>
      </c>
      <c r="I11" s="5">
        <f>NYISO!L18</f>
        <v>6147.4699999999993</v>
      </c>
      <c r="J11" s="43">
        <f>NYISO!M18</f>
        <v>12809.9</v>
      </c>
      <c r="K11" s="42">
        <f>'Integration Analysis'!D15+'Integration Analysis'!D16</f>
        <v>2185.3999999999996</v>
      </c>
      <c r="L11" s="5">
        <f>'Integration Analysis'!F15+'Integration Analysis'!F16</f>
        <v>4435.4599999999991</v>
      </c>
      <c r="M11" s="5">
        <f>'Integration Analysis'!G15+'Integration Analysis'!G16</f>
        <v>7226.4199999999992</v>
      </c>
      <c r="N11" s="43">
        <f>'Integration Analysis'!H15+'Integration Analysis'!H16</f>
        <v>12148.569999999998</v>
      </c>
      <c r="O11" s="42">
        <f>'Integration Analysis'!D33+'Integration Analysis'!D34</f>
        <v>2185.42</v>
      </c>
      <c r="P11" s="5">
        <f>'Integration Analysis'!F33+'Integration Analysis'!F34</f>
        <v>4435.46</v>
      </c>
      <c r="Q11" s="5">
        <f>'Integration Analysis'!G33+'Integration Analysis'!G34</f>
        <v>9525.35</v>
      </c>
      <c r="R11" s="43">
        <f>'Integration Analysis'!H33+'Integration Analysis'!H34</f>
        <v>13642.42</v>
      </c>
      <c r="S11" s="42">
        <f>'Integration Analysis'!D51+'Integration Analysis'!D52</f>
        <v>2185.3999999999996</v>
      </c>
      <c r="T11" s="5">
        <f>'Integration Analysis'!F51+'Integration Analysis'!F52</f>
        <v>4435.42</v>
      </c>
      <c r="U11" s="5">
        <f>'Integration Analysis'!G51+'Integration Analysis'!G52</f>
        <v>7745.92</v>
      </c>
      <c r="V11" s="43">
        <f>'Integration Analysis'!H51+'Integration Analysis'!H52</f>
        <v>13011.59</v>
      </c>
      <c r="X11" s="60" t="s">
        <v>12</v>
      </c>
      <c r="Y11" s="67">
        <f>(D11-C11)/C11</f>
        <v>2.1384955352810602</v>
      </c>
      <c r="Z11" s="67">
        <f>(E11-C11)/C11</f>
        <v>3.1225322757438971</v>
      </c>
      <c r="AA11" s="67">
        <f>(F11-C11)/C11</f>
        <v>7.1489076926538475</v>
      </c>
      <c r="AB11" s="67">
        <f t="shared" si="24"/>
        <v>2.1384955352810602</v>
      </c>
      <c r="AC11" s="67">
        <f t="shared" si="25"/>
        <v>3.3751121676850402</v>
      </c>
      <c r="AD11" s="67">
        <f t="shared" si="26"/>
        <v>8.1167178297459941</v>
      </c>
      <c r="AE11" s="67">
        <f t="shared" si="27"/>
        <v>1.0295872609133339</v>
      </c>
      <c r="AF11" s="67">
        <f t="shared" si="28"/>
        <v>2.3066806991855038</v>
      </c>
      <c r="AG11" s="67">
        <f t="shared" si="29"/>
        <v>4.5589686098654711</v>
      </c>
      <c r="AH11" s="67">
        <f t="shared" si="30"/>
        <v>1.0295686870258347</v>
      </c>
      <c r="AI11" s="67">
        <f t="shared" si="31"/>
        <v>3.3585901108253791</v>
      </c>
      <c r="AJ11" s="67">
        <f t="shared" si="32"/>
        <v>5.24247055485902</v>
      </c>
      <c r="AK11" s="67">
        <f t="shared" si="33"/>
        <v>1.0295689576278946</v>
      </c>
      <c r="AL11" s="67">
        <f t="shared" si="34"/>
        <v>2.5443946188340814</v>
      </c>
      <c r="AM11" s="67">
        <f t="shared" si="35"/>
        <v>4.9538711448705053</v>
      </c>
    </row>
    <row r="12" spans="2:46" x14ac:dyDescent="0.3">
      <c r="B12" s="60" t="s">
        <v>48</v>
      </c>
      <c r="C12" s="42">
        <f>SUM(NYISO!B10:B12)</f>
        <v>0</v>
      </c>
      <c r="D12" s="5">
        <f>SUM(NYISO!D10:D12)</f>
        <v>419.64</v>
      </c>
      <c r="E12" s="5">
        <f>SUM(NYISO!E10:E12)</f>
        <v>7052.56</v>
      </c>
      <c r="F12" s="87">
        <f>SUM(NYISO!F10:F12)</f>
        <v>44750.23</v>
      </c>
      <c r="G12" s="42">
        <f>SUM(NYISO!I10:I12)</f>
        <v>0</v>
      </c>
      <c r="H12" s="5">
        <f>SUM(NYISO!K10:K12)</f>
        <v>819.31</v>
      </c>
      <c r="I12" s="5">
        <f>SUM(NYISO!L10:L12)</f>
        <v>3990.04</v>
      </c>
      <c r="J12" s="87">
        <f>SUM(NYISO!M10:M12)</f>
        <v>27200</v>
      </c>
      <c r="K12" s="42">
        <f>'Integration Analysis'!D6</f>
        <v>0</v>
      </c>
      <c r="L12" s="5">
        <f>'Integration Analysis'!F6</f>
        <v>0</v>
      </c>
      <c r="M12" s="5">
        <f>'Integration Analysis'!G6</f>
        <v>0</v>
      </c>
      <c r="N12" s="87">
        <f>'Integration Analysis'!H6</f>
        <v>21015.35</v>
      </c>
      <c r="O12" s="42">
        <f>'Integration Analysis'!D24</f>
        <v>0</v>
      </c>
      <c r="P12" s="5">
        <f>'Integration Analysis'!F24</f>
        <v>0</v>
      </c>
      <c r="Q12" s="5">
        <f>'Integration Analysis'!G24</f>
        <v>5489.27</v>
      </c>
      <c r="R12" s="43">
        <f>'Integration Analysis'!H24</f>
        <v>23521.589999999997</v>
      </c>
      <c r="S12" s="42">
        <f>'Integration Analysis'!D42</f>
        <v>0</v>
      </c>
      <c r="T12" s="5">
        <f>'Integration Analysis'!F42</f>
        <v>0</v>
      </c>
      <c r="U12" s="5">
        <f>'Integration Analysis'!G42</f>
        <v>0</v>
      </c>
      <c r="V12" s="43">
        <f>'Integration Analysis'!H42</f>
        <v>23676.28</v>
      </c>
      <c r="X12" s="60" t="s">
        <v>48</v>
      </c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O12" s="68">
        <f>F12</f>
        <v>44750.23</v>
      </c>
      <c r="AP12" s="68">
        <f>AVERAGE(N12,R12,V12,J12)</f>
        <v>23853.305</v>
      </c>
      <c r="AQ12" s="68">
        <f>AO12-AP12</f>
        <v>20896.925000000003</v>
      </c>
      <c r="AR12" s="66">
        <f>AQ12/AP12</f>
        <v>0.87605994221765082</v>
      </c>
    </row>
    <row r="13" spans="2:46" x14ac:dyDescent="0.3">
      <c r="B13" s="60" t="s">
        <v>50</v>
      </c>
      <c r="C13" s="42"/>
      <c r="D13" s="5"/>
      <c r="E13" s="5"/>
      <c r="F13" s="43"/>
      <c r="G13" s="42"/>
      <c r="H13" s="5"/>
      <c r="I13" s="5"/>
      <c r="J13" s="43"/>
      <c r="K13" s="42">
        <f>'Integration Analysis'!D7</f>
        <v>327</v>
      </c>
      <c r="L13" s="5">
        <f>'Integration Analysis'!F7</f>
        <v>327</v>
      </c>
      <c r="M13" s="5">
        <f>'Integration Analysis'!G7</f>
        <v>327</v>
      </c>
      <c r="N13" s="43">
        <f>'Integration Analysis'!H7</f>
        <v>327</v>
      </c>
      <c r="O13" s="42">
        <f>'Integration Analysis'!D25</f>
        <v>327</v>
      </c>
      <c r="P13" s="5">
        <f>'Integration Analysis'!F25</f>
        <v>327</v>
      </c>
      <c r="Q13" s="5">
        <f>'Integration Analysis'!G25</f>
        <v>327</v>
      </c>
      <c r="R13" s="43">
        <f>'Integration Analysis'!H25</f>
        <v>327</v>
      </c>
      <c r="S13" s="42">
        <f>'Integration Analysis'!D43</f>
        <v>327</v>
      </c>
      <c r="T13" s="5">
        <f>'Integration Analysis'!F43</f>
        <v>327</v>
      </c>
      <c r="U13" s="5">
        <f>'Integration Analysis'!G43</f>
        <v>327</v>
      </c>
      <c r="V13" s="43">
        <f>'Integration Analysis'!H43</f>
        <v>327</v>
      </c>
      <c r="X13" s="60" t="s">
        <v>50</v>
      </c>
      <c r="Y13" s="5"/>
      <c r="Z13" s="5"/>
      <c r="AA13" s="43"/>
      <c r="AB13" s="5"/>
      <c r="AC13" s="5"/>
      <c r="AD13" s="43"/>
      <c r="AE13" s="5"/>
      <c r="AF13" s="5"/>
      <c r="AG13" s="43"/>
      <c r="AH13" s="5"/>
      <c r="AI13" s="5"/>
      <c r="AJ13" s="43"/>
      <c r="AK13" s="5"/>
      <c r="AL13" s="5"/>
      <c r="AM13" s="43"/>
    </row>
    <row r="14" spans="2:46" ht="15" thickBot="1" x14ac:dyDescent="0.35">
      <c r="B14" s="62" t="s">
        <v>13</v>
      </c>
      <c r="C14" s="44">
        <f t="shared" ref="C14:V14" si="36">SUM(C5:C13)</f>
        <v>43530.719932744287</v>
      </c>
      <c r="D14" s="45">
        <f t="shared" si="36"/>
        <v>65815.100000000006</v>
      </c>
      <c r="E14" s="45">
        <f t="shared" si="36"/>
        <v>82098.69</v>
      </c>
      <c r="F14" s="46">
        <f t="shared" si="36"/>
        <v>111065.82</v>
      </c>
      <c r="G14" s="44">
        <f t="shared" si="36"/>
        <v>43530.719932744287</v>
      </c>
      <c r="H14" s="45">
        <f t="shared" si="36"/>
        <v>61410.509999999995</v>
      </c>
      <c r="I14" s="45">
        <f t="shared" si="36"/>
        <v>83571.5</v>
      </c>
      <c r="J14" s="46">
        <f t="shared" si="36"/>
        <v>124135.18</v>
      </c>
      <c r="K14" s="44">
        <f t="shared" si="36"/>
        <v>44023.30000000001</v>
      </c>
      <c r="L14" s="45">
        <f t="shared" si="36"/>
        <v>67667.34</v>
      </c>
      <c r="M14" s="45">
        <f t="shared" si="36"/>
        <v>85291.85</v>
      </c>
      <c r="N14" s="46">
        <f t="shared" si="36"/>
        <v>114232.10999999999</v>
      </c>
      <c r="O14" s="44">
        <f t="shared" si="36"/>
        <v>44023.320000000007</v>
      </c>
      <c r="P14" s="45">
        <f t="shared" si="36"/>
        <v>68243.789999999994</v>
      </c>
      <c r="Q14" s="45">
        <f t="shared" si="36"/>
        <v>90053.680000000008</v>
      </c>
      <c r="R14" s="46">
        <f t="shared" si="36"/>
        <v>118893.83</v>
      </c>
      <c r="S14" s="44">
        <f t="shared" si="36"/>
        <v>44023.30000000001</v>
      </c>
      <c r="T14" s="45">
        <f t="shared" si="36"/>
        <v>68210.28</v>
      </c>
      <c r="U14" s="45">
        <f t="shared" si="36"/>
        <v>89373.069999999992</v>
      </c>
      <c r="V14" s="46">
        <f t="shared" si="36"/>
        <v>117895.62</v>
      </c>
      <c r="X14" s="62" t="s">
        <v>13</v>
      </c>
      <c r="Y14" s="45"/>
      <c r="Z14" s="45"/>
      <c r="AA14" s="46"/>
      <c r="AB14" s="45"/>
      <c r="AC14" s="45"/>
      <c r="AD14" s="46"/>
      <c r="AE14" s="45"/>
      <c r="AF14" s="45"/>
      <c r="AG14" s="46"/>
      <c r="AH14" s="45"/>
      <c r="AI14" s="45"/>
      <c r="AJ14" s="46"/>
      <c r="AK14" s="45"/>
      <c r="AL14" s="45"/>
      <c r="AM14" s="46"/>
      <c r="AT14" s="86">
        <f>(L14-H14)/H14</f>
        <v>0.10188532874910178</v>
      </c>
    </row>
    <row r="15" spans="2:46" x14ac:dyDescent="0.3">
      <c r="B15" s="55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X15" s="55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</row>
    <row r="16" spans="2:46" ht="15" thickBot="1" x14ac:dyDescent="0.35">
      <c r="B16" s="2" t="s">
        <v>62</v>
      </c>
      <c r="X16" s="2" t="s">
        <v>62</v>
      </c>
    </row>
    <row r="17" spans="2:46" x14ac:dyDescent="0.3">
      <c r="B17" s="57"/>
      <c r="C17" s="76" t="s">
        <v>59</v>
      </c>
      <c r="D17" s="77"/>
      <c r="E17" s="77"/>
      <c r="F17" s="78"/>
      <c r="G17" s="76" t="s">
        <v>60</v>
      </c>
      <c r="H17" s="77"/>
      <c r="I17" s="77"/>
      <c r="J17" s="78"/>
      <c r="K17" s="79" t="s">
        <v>49</v>
      </c>
      <c r="L17" s="80"/>
      <c r="M17" s="81"/>
      <c r="N17" s="82"/>
      <c r="O17" s="79" t="s">
        <v>51</v>
      </c>
      <c r="P17" s="80"/>
      <c r="Q17" s="81"/>
      <c r="R17" s="82"/>
      <c r="S17" s="79" t="s">
        <v>52</v>
      </c>
      <c r="T17" s="80"/>
      <c r="U17" s="81"/>
      <c r="V17" s="82"/>
      <c r="X17" s="57"/>
      <c r="Y17" s="77" t="s">
        <v>117</v>
      </c>
      <c r="Z17" s="77"/>
      <c r="AA17" s="78"/>
      <c r="AB17" s="77" t="s">
        <v>118</v>
      </c>
      <c r="AC17" s="77"/>
      <c r="AD17" s="78"/>
      <c r="AE17" s="80" t="s">
        <v>119</v>
      </c>
      <c r="AF17" s="81"/>
      <c r="AG17" s="82"/>
      <c r="AH17" s="80" t="s">
        <v>120</v>
      </c>
      <c r="AI17" s="81"/>
      <c r="AJ17" s="82"/>
      <c r="AK17" s="80" t="s">
        <v>121</v>
      </c>
      <c r="AL17" s="81"/>
      <c r="AM17" s="82"/>
    </row>
    <row r="18" spans="2:46" x14ac:dyDescent="0.3">
      <c r="B18" s="58" t="s">
        <v>1</v>
      </c>
      <c r="C18" s="40">
        <v>2019</v>
      </c>
      <c r="D18" s="47">
        <v>2030</v>
      </c>
      <c r="E18" s="47">
        <v>2035</v>
      </c>
      <c r="F18" s="41">
        <v>2040</v>
      </c>
      <c r="G18" s="40">
        <v>2019</v>
      </c>
      <c r="H18" s="47">
        <v>2030</v>
      </c>
      <c r="I18" s="47">
        <v>2035</v>
      </c>
      <c r="J18" s="41">
        <v>2040</v>
      </c>
      <c r="K18" s="40">
        <v>2020</v>
      </c>
      <c r="L18" s="47">
        <v>2030</v>
      </c>
      <c r="M18" s="47">
        <v>2035</v>
      </c>
      <c r="N18" s="41">
        <v>2040</v>
      </c>
      <c r="O18" s="40">
        <v>2020</v>
      </c>
      <c r="P18" s="47">
        <v>2030</v>
      </c>
      <c r="Q18" s="47">
        <v>2035</v>
      </c>
      <c r="R18" s="41">
        <v>2040</v>
      </c>
      <c r="S18" s="40">
        <v>2020</v>
      </c>
      <c r="T18" s="47">
        <v>2030</v>
      </c>
      <c r="U18" s="47">
        <v>2035</v>
      </c>
      <c r="V18" s="41">
        <v>2040</v>
      </c>
      <c r="X18" s="58" t="s">
        <v>1</v>
      </c>
      <c r="Y18" s="48">
        <v>2030</v>
      </c>
      <c r="Z18" s="48">
        <v>2035</v>
      </c>
      <c r="AA18" s="41">
        <v>2040</v>
      </c>
      <c r="AB18" s="48">
        <v>2030</v>
      </c>
      <c r="AC18" s="48">
        <v>2035</v>
      </c>
      <c r="AD18" s="41">
        <v>2040</v>
      </c>
      <c r="AE18" s="48">
        <v>2030</v>
      </c>
      <c r="AF18" s="48">
        <v>2035</v>
      </c>
      <c r="AG18" s="41">
        <v>2040</v>
      </c>
      <c r="AH18" s="48">
        <v>2030</v>
      </c>
      <c r="AI18" s="48">
        <v>2035</v>
      </c>
      <c r="AJ18" s="41">
        <v>2040</v>
      </c>
      <c r="AK18" s="48">
        <v>2030</v>
      </c>
      <c r="AL18" s="48">
        <v>2035</v>
      </c>
      <c r="AM18" s="41">
        <v>2040</v>
      </c>
    </row>
    <row r="19" spans="2:46" x14ac:dyDescent="0.3">
      <c r="B19" s="59" t="s">
        <v>2</v>
      </c>
      <c r="C19" s="42">
        <f>NYISO!B23</f>
        <v>45428.500728271458</v>
      </c>
      <c r="D19" s="5">
        <f>NYISO!D23</f>
        <v>27444.03</v>
      </c>
      <c r="E19" s="5">
        <f>NYISO!E23</f>
        <v>28338.13</v>
      </c>
      <c r="F19" s="43">
        <f>NYISO!F23</f>
        <v>27092.16</v>
      </c>
      <c r="G19" s="42">
        <f>NYISO!I23</f>
        <v>45428.500728271458</v>
      </c>
      <c r="H19" s="5">
        <f>NYISO!K23</f>
        <v>27444.03</v>
      </c>
      <c r="I19" s="5">
        <f>NYISO!L23</f>
        <v>28338.13</v>
      </c>
      <c r="J19" s="43">
        <f>NYISO!M23</f>
        <v>27092.16</v>
      </c>
      <c r="K19" s="42">
        <f>'Integration Analysis'!O4</f>
        <v>38317.816801679503</v>
      </c>
      <c r="L19" s="5">
        <f>'Integration Analysis'!Q4</f>
        <v>26452.396801159401</v>
      </c>
      <c r="M19" s="5">
        <f>'Integration Analysis'!R4</f>
        <v>26452.396801159401</v>
      </c>
      <c r="N19" s="43">
        <f>'Integration Analysis'!S4</f>
        <v>26452.396801159401</v>
      </c>
      <c r="O19" s="42">
        <f>'Integration Analysis'!O22</f>
        <v>38317.816801679503</v>
      </c>
      <c r="P19" s="5">
        <f>'Integration Analysis'!Q22</f>
        <v>26452.396801159401</v>
      </c>
      <c r="Q19" s="5">
        <f>'Integration Analysis'!R22</f>
        <v>26452.396801159401</v>
      </c>
      <c r="R19" s="43">
        <f>'Integration Analysis'!S22</f>
        <v>26452.396801159401</v>
      </c>
      <c r="S19" s="42">
        <f>'Integration Analysis'!O40</f>
        <v>38317.816801679604</v>
      </c>
      <c r="T19" s="5">
        <f>'Integration Analysis'!Q40</f>
        <v>26452.396801159503</v>
      </c>
      <c r="U19" s="5">
        <f>'Integration Analysis'!R40</f>
        <v>26452.396801159503</v>
      </c>
      <c r="V19" s="43">
        <f>'Integration Analysis'!S40</f>
        <v>26452.396801159503</v>
      </c>
      <c r="X19" s="59" t="s">
        <v>2</v>
      </c>
      <c r="Y19" s="65">
        <f>(D19-C19)/C19</f>
        <v>-0.3958851918940659</v>
      </c>
      <c r="Z19" s="65">
        <f>(E19-C19)/C19</f>
        <v>-0.37620371472298292</v>
      </c>
      <c r="AA19" s="65">
        <f>(F19-C19)/C19</f>
        <v>-0.40363076998621328</v>
      </c>
      <c r="AB19" s="65">
        <f>(H19-G19)/G19</f>
        <v>-0.3958851918940659</v>
      </c>
      <c r="AC19" s="65">
        <f>(I19-G19)/G19</f>
        <v>-0.37620371472298292</v>
      </c>
      <c r="AD19" s="65">
        <f>(J19-G19)/G19</f>
        <v>-0.40363076998621328</v>
      </c>
      <c r="AE19" s="65">
        <f>(L19-K19)/K19</f>
        <v>-0.30965803876383768</v>
      </c>
      <c r="AF19" s="65">
        <f>(M19-K19)/K19</f>
        <v>-0.30965803876383768</v>
      </c>
      <c r="AG19" s="65">
        <f>(N19-K19)/K19</f>
        <v>-0.30965803876383768</v>
      </c>
      <c r="AH19" s="65">
        <f>(P19-O19)/O19</f>
        <v>-0.30965803876383768</v>
      </c>
      <c r="AI19" s="65">
        <f>(Q19-O19)/O19</f>
        <v>-0.30965803876383768</v>
      </c>
      <c r="AJ19" s="65">
        <f>(R19-O19)/O19</f>
        <v>-0.30965803876383768</v>
      </c>
      <c r="AK19" s="65">
        <f>(T19-S19)/S19</f>
        <v>-0.30965803876383685</v>
      </c>
      <c r="AL19" s="65">
        <f>(U19-S19)/S19</f>
        <v>-0.30965803876383685</v>
      </c>
      <c r="AM19" s="65">
        <f>(V19-S19)/S19</f>
        <v>-0.30965803876383685</v>
      </c>
    </row>
    <row r="20" spans="2:46" x14ac:dyDescent="0.3">
      <c r="B20" s="60" t="s">
        <v>3</v>
      </c>
      <c r="C20" s="42">
        <f>NYISO!B24</f>
        <v>50519.665856117608</v>
      </c>
      <c r="D20" s="5">
        <f>NYISO!D24</f>
        <v>19987.32</v>
      </c>
      <c r="E20" s="5">
        <f>NYISO!E24</f>
        <v>14516.19</v>
      </c>
      <c r="F20" s="43">
        <f>NYISO!F24</f>
        <v>0</v>
      </c>
      <c r="G20" s="42">
        <f>NYISO!I24</f>
        <v>50519.665856117608</v>
      </c>
      <c r="H20" s="5">
        <f>NYISO!K24</f>
        <v>20066.34</v>
      </c>
      <c r="I20" s="5">
        <f>NYISO!L24</f>
        <v>18908.41</v>
      </c>
      <c r="J20" s="43">
        <f>NYISO!M24</f>
        <v>0</v>
      </c>
      <c r="K20" s="42">
        <f>'Integration Analysis'!O5</f>
        <v>70449.42790432059</v>
      </c>
      <c r="L20" s="5">
        <f>'Integration Analysis'!Q5</f>
        <v>24561.805277608331</v>
      </c>
      <c r="M20" s="5">
        <f>'Integration Analysis'!R5</f>
        <v>19650.904656982111</v>
      </c>
      <c r="N20" s="43">
        <f>'Integration Analysis'!S5</f>
        <v>0</v>
      </c>
      <c r="O20" s="42">
        <f>'Integration Analysis'!O23</f>
        <v>70460.574495085908</v>
      </c>
      <c r="P20" s="5">
        <f>'Integration Analysis'!Q23</f>
        <v>25668.425778305529</v>
      </c>
      <c r="Q20" s="5">
        <f>'Integration Analysis'!R23</f>
        <v>21230.791468046962</v>
      </c>
      <c r="R20" s="43">
        <f>'Integration Analysis'!S23</f>
        <v>0</v>
      </c>
      <c r="S20" s="42">
        <f>'Integration Analysis'!O41</f>
        <v>70458.669606661628</v>
      </c>
      <c r="T20" s="5">
        <f>'Integration Analysis'!Q41</f>
        <v>25586.59483524998</v>
      </c>
      <c r="U20" s="5">
        <f>'Integration Analysis'!R41</f>
        <v>20849.757209320614</v>
      </c>
      <c r="V20" s="43">
        <f>'Integration Analysis'!S41</f>
        <v>0</v>
      </c>
      <c r="X20" s="60" t="s">
        <v>3</v>
      </c>
      <c r="Y20" s="65">
        <f t="shared" ref="Y20" si="37">(D20-C20)/C20</f>
        <v>-0.60436555425911109</v>
      </c>
      <c r="Z20" s="65">
        <f t="shared" ref="Z20" si="38">(E20-C20)/C20</f>
        <v>-0.71266258883534983</v>
      </c>
      <c r="AA20" s="65">
        <f t="shared" ref="AA20" si="39">(F20-C20)/C20</f>
        <v>-1</v>
      </c>
      <c r="AB20" s="65">
        <f t="shared" ref="AB20" si="40">(H20-G20)/G20</f>
        <v>-0.60280141089709727</v>
      </c>
      <c r="AC20" s="65">
        <f t="shared" ref="AC20" si="41">(I20-G20)/G20</f>
        <v>-0.62572179210662149</v>
      </c>
      <c r="AD20" s="65">
        <f t="shared" ref="AD20" si="42">(J20-G20)/G20</f>
        <v>-1</v>
      </c>
      <c r="AE20" s="65">
        <f t="shared" ref="AE20" si="43">(L20-K20)/K20</f>
        <v>-0.65135550410762122</v>
      </c>
      <c r="AF20" s="65">
        <f t="shared" ref="AF20" si="44">(M20-K20)/K20</f>
        <v>-0.72106367302697516</v>
      </c>
      <c r="AG20" s="65">
        <f t="shared" ref="AG20" si="45">(N20-K20)/K20</f>
        <v>-1</v>
      </c>
      <c r="AH20" s="65">
        <f t="shared" ref="AH20" si="46">(P20-O20)/O20</f>
        <v>-0.63570513067423673</v>
      </c>
      <c r="AI20" s="65">
        <f t="shared" ref="AI20" si="47">(Q20-O20)/O20</f>
        <v>-0.69868551853025762</v>
      </c>
      <c r="AJ20" s="65">
        <f t="shared" ref="AJ20" si="48">(R20-O20)/O20</f>
        <v>-1</v>
      </c>
      <c r="AK20" s="65">
        <f t="shared" ref="AK20" si="49">(T20-S20)/S20</f>
        <v>-0.63685668522996275</v>
      </c>
      <c r="AL20" s="65">
        <f t="shared" ref="AL20" si="50">(U20-S20)/S20</f>
        <v>-0.70408528395845071</v>
      </c>
      <c r="AM20" s="65">
        <f t="shared" ref="AM20" si="51">(V20-S20)/S20</f>
        <v>-1</v>
      </c>
    </row>
    <row r="21" spans="2:46" x14ac:dyDescent="0.3">
      <c r="B21" s="61" t="s">
        <v>7</v>
      </c>
      <c r="C21" s="42">
        <f>NYISO!B28</f>
        <v>40033.570416182403</v>
      </c>
      <c r="D21" s="5">
        <f>NYISO!D28</f>
        <v>46342.39</v>
      </c>
      <c r="E21" s="5">
        <f>NYISO!E28</f>
        <v>46392.32</v>
      </c>
      <c r="F21" s="43">
        <f>NYISO!F28</f>
        <v>46391.009999999995</v>
      </c>
      <c r="G21" s="42">
        <f>NYISO!I28</f>
        <v>40033.570416182403</v>
      </c>
      <c r="H21" s="5">
        <f>NYISO!K28</f>
        <v>46342.39</v>
      </c>
      <c r="I21" s="5">
        <f>NYISO!L28</f>
        <v>46392.32</v>
      </c>
      <c r="J21" s="43">
        <f>NYISO!M28</f>
        <v>46391.009999999995</v>
      </c>
      <c r="K21" s="42">
        <f>'Integration Analysis'!O8+'Integration Analysis'!O9+'Integration Analysis'!O10</f>
        <v>37481.409267220646</v>
      </c>
      <c r="L21" s="5">
        <f>'Integration Analysis'!Q8+'Integration Analysis'!Q9+'Integration Analysis'!Q10</f>
        <v>49977.605834422691</v>
      </c>
      <c r="M21" s="5">
        <f>'Integration Analysis'!R8+'Integration Analysis'!R9+'Integration Analysis'!R10</f>
        <v>50083.890437491558</v>
      </c>
      <c r="N21" s="43">
        <f>'Integration Analysis'!S8+'Integration Analysis'!S9+'Integration Analysis'!S10</f>
        <v>49165.462143637073</v>
      </c>
      <c r="O21" s="42">
        <f>'Integration Analysis'!O26+'Integration Analysis'!O27+'Integration Analysis'!O28</f>
        <v>37481.771668924535</v>
      </c>
      <c r="P21" s="5">
        <f>'Integration Analysis'!Q26+'Integration Analysis'!Q27+'Integration Analysis'!Q28</f>
        <v>49990.875476972316</v>
      </c>
      <c r="Q21" s="5">
        <f>'Integration Analysis'!R26+'Integration Analysis'!R27+'Integration Analysis'!R28</f>
        <v>50113.877319823572</v>
      </c>
      <c r="R21" s="43">
        <f>'Integration Analysis'!S26+'Integration Analysis'!S27+'Integration Analysis'!S28</f>
        <v>49102.748639641868</v>
      </c>
      <c r="S21" s="42">
        <f>'Integration Analysis'!O44+'Integration Analysis'!O45+'Integration Analysis'!O46</f>
        <v>37481.687103206357</v>
      </c>
      <c r="T21" s="5">
        <f>'Integration Analysis'!Q44+'Integration Analysis'!Q45+'Integration Analysis'!Q46</f>
        <v>49987.055072728566</v>
      </c>
      <c r="U21" s="5">
        <f>'Integration Analysis'!R44+'Integration Analysis'!R45+'Integration Analysis'!R46</f>
        <v>50114.799776527114</v>
      </c>
      <c r="V21" s="43">
        <f>'Integration Analysis'!S44+'Integration Analysis'!S45+'Integration Analysis'!S46</f>
        <v>49143.856813510414</v>
      </c>
      <c r="X21" s="61" t="s">
        <v>7</v>
      </c>
      <c r="Y21" s="65">
        <f>(D21-C21)/C21</f>
        <v>0.15758823203207076</v>
      </c>
      <c r="Z21" s="65">
        <f>(E21-C21)/C21</f>
        <v>0.15883543530374841</v>
      </c>
      <c r="AA21" s="65">
        <f>(F21-C21)/C21</f>
        <v>0.15880271276647814</v>
      </c>
      <c r="AB21" s="65">
        <f>(H21-G21)/G21</f>
        <v>0.15758823203207076</v>
      </c>
      <c r="AC21" s="65">
        <f>(I21-G21)/G21</f>
        <v>0.15883543530374841</v>
      </c>
      <c r="AD21" s="65">
        <f>(J21-G21)/G21</f>
        <v>0.15880271276647814</v>
      </c>
      <c r="AE21" s="65">
        <f>(L21-K21)/K21</f>
        <v>0.33339719107441856</v>
      </c>
      <c r="AF21" s="65">
        <f>(M21-K21)/K21</f>
        <v>0.33623285294377681</v>
      </c>
      <c r="AG21" s="65">
        <f>(N21-K21)/K21</f>
        <v>0.31172928405962341</v>
      </c>
      <c r="AH21" s="65">
        <f>(P21-O21)/O21</f>
        <v>0.33373832802089382</v>
      </c>
      <c r="AI21" s="65">
        <f>(Q21-O21)/O21</f>
        <v>0.33701997233423436</v>
      </c>
      <c r="AJ21" s="65">
        <f>(R21-O21)/O21</f>
        <v>0.31004342786581979</v>
      </c>
      <c r="AK21" s="65">
        <f>(T21-S21)/S21</f>
        <v>0.33363940996275065</v>
      </c>
      <c r="AL21" s="65">
        <f>(U21-S21)/S21</f>
        <v>0.33704759976612853</v>
      </c>
      <c r="AM21" s="65">
        <f>(V21-S21)/S21</f>
        <v>0.31114313713233099</v>
      </c>
    </row>
    <row r="22" spans="2:46" x14ac:dyDescent="0.3">
      <c r="B22" s="60" t="s">
        <v>8</v>
      </c>
      <c r="C22" s="42">
        <f>NYISO!B29</f>
        <v>4415.6059865357875</v>
      </c>
      <c r="D22" s="5">
        <f>NYISO!D29</f>
        <v>26971.239999999998</v>
      </c>
      <c r="E22" s="5">
        <f>NYISO!E29</f>
        <v>38296.81</v>
      </c>
      <c r="F22" s="43">
        <f>NYISO!F29</f>
        <v>59361.62</v>
      </c>
      <c r="G22" s="42">
        <f>NYISO!I29</f>
        <v>4415.6059865357875</v>
      </c>
      <c r="H22" s="5">
        <f>NYISO!K29</f>
        <v>16493.5</v>
      </c>
      <c r="I22" s="5">
        <f>NYISO!L29</f>
        <v>37460.47</v>
      </c>
      <c r="J22" s="43">
        <f>NYISO!M29</f>
        <v>59361.62</v>
      </c>
      <c r="K22" s="42">
        <f>'Integration Analysis'!O11+'Integration Analysis'!O12</f>
        <v>4796.1883632501595</v>
      </c>
      <c r="L22" s="5">
        <f>'Integration Analysis'!Q11+'Integration Analysis'!Q12</f>
        <v>16817.042224946919</v>
      </c>
      <c r="M22" s="5">
        <f>'Integration Analysis'!R11+'Integration Analysis'!R12</f>
        <v>34039.034609128146</v>
      </c>
      <c r="N22" s="43">
        <f>'Integration Analysis'!S11+'Integration Analysis'!S12</f>
        <v>41165.243427389963</v>
      </c>
      <c r="O22" s="42">
        <f>'Integration Analysis'!O29+'Integration Analysis'!O30</f>
        <v>4796.19192832723</v>
      </c>
      <c r="P22" s="5">
        <f>'Integration Analysis'!Q29+'Integration Analysis'!Q30</f>
        <v>21840.594420090849</v>
      </c>
      <c r="Q22" s="5">
        <f>'Integration Analysis'!R29+'Integration Analysis'!R30</f>
        <v>35518.85594040202</v>
      </c>
      <c r="R22" s="43">
        <f>'Integration Analysis'!S29+'Integration Analysis'!S30</f>
        <v>41801.617168683733</v>
      </c>
      <c r="S22" s="42">
        <f>'Integration Analysis'!O47+'Integration Analysis'!O48</f>
        <v>4796.2037912553797</v>
      </c>
      <c r="T22" s="5">
        <f>'Integration Analysis'!Q47+'Integration Analysis'!Q48</f>
        <v>20415.059130180158</v>
      </c>
      <c r="U22" s="5">
        <f>'Integration Analysis'!R47+'Integration Analysis'!R48</f>
        <v>35310.600616039403</v>
      </c>
      <c r="V22" s="43">
        <f>'Integration Analysis'!S47+'Integration Analysis'!S48</f>
        <v>42309.507182539732</v>
      </c>
      <c r="X22" s="60" t="s">
        <v>8</v>
      </c>
      <c r="Y22" s="67">
        <f t="shared" ref="Y22" si="52">(D22-C22)/C22</f>
        <v>5.108162748723867</v>
      </c>
      <c r="Z22" s="67">
        <f t="shared" ref="Z22" si="53">(E22-C22)/C22</f>
        <v>7.6730587187298642</v>
      </c>
      <c r="AA22" s="67">
        <f t="shared" ref="AA22" si="54">(F22-C22)/C22</f>
        <v>12.443595325535709</v>
      </c>
      <c r="AB22" s="67">
        <f t="shared" ref="AB22" si="55">(H22-G22)/G22</f>
        <v>2.735274399548449</v>
      </c>
      <c r="AC22" s="67">
        <f t="shared" ref="AC22" si="56">(I22-G22)/G22</f>
        <v>7.4836532322461986</v>
      </c>
      <c r="AD22" s="67">
        <f t="shared" ref="AD22" si="57">(J22-G22)/G22</f>
        <v>12.443595325535709</v>
      </c>
      <c r="AE22" s="67">
        <f t="shared" ref="AE22" si="58">(L22-K22)/K22</f>
        <v>2.5063348124114899</v>
      </c>
      <c r="AF22" s="67">
        <f t="shared" ref="AF22" si="59">(M22-K22)/K22</f>
        <v>6.097101287752893</v>
      </c>
      <c r="AG22" s="67">
        <f t="shared" ref="AG22" si="60">(N22-K22)/K22</f>
        <v>7.5829079906057197</v>
      </c>
      <c r="AH22" s="67">
        <f t="shared" ref="AH22" si="61">(P22-O22)/O22</f>
        <v>3.553736536500157</v>
      </c>
      <c r="AI22" s="67">
        <f t="shared" ref="AI22" si="62">(Q22-O22)/O22</f>
        <v>6.4056369034401728</v>
      </c>
      <c r="AJ22" s="67">
        <f t="shared" ref="AJ22" si="63">(R22-O22)/O22</f>
        <v>7.7155847375071378</v>
      </c>
      <c r="AK22" s="67">
        <f t="shared" ref="AK22" si="64">(T22-S22)/S22</f>
        <v>3.2565036888969705</v>
      </c>
      <c r="AL22" s="67">
        <f t="shared" ref="AL22" si="65">(U22-S22)/S22</f>
        <v>6.3621977198756712</v>
      </c>
      <c r="AM22" s="67">
        <f t="shared" ref="AM22" si="66">(V22-S22)/S22</f>
        <v>7.8214573491810393</v>
      </c>
      <c r="AO22" s="68">
        <f>AVERAGE(F22,J22)</f>
        <v>59361.62</v>
      </c>
      <c r="AP22" s="68">
        <f>AVERAGE(N22,R22,V22)</f>
        <v>41758.789259537814</v>
      </c>
      <c r="AQ22" s="68">
        <f>AO22-AP22</f>
        <v>17602.830740462188</v>
      </c>
      <c r="AR22" s="66">
        <f>AQ22/AP22</f>
        <v>0.42153594614675416</v>
      </c>
    </row>
    <row r="23" spans="2:46" x14ac:dyDescent="0.3">
      <c r="B23" s="60" t="s">
        <v>9</v>
      </c>
      <c r="C23" s="42">
        <f>NYISO!B30</f>
        <v>0</v>
      </c>
      <c r="D23" s="5">
        <f>NYISO!D30</f>
        <v>20185.510000000002</v>
      </c>
      <c r="E23" s="5">
        <f>NYISO!E30</f>
        <v>35459.620000000003</v>
      </c>
      <c r="F23" s="43">
        <f>NYISO!F30</f>
        <v>35646.869999999995</v>
      </c>
      <c r="G23" s="42">
        <f>NYISO!I30</f>
        <v>0</v>
      </c>
      <c r="H23" s="5">
        <f>NYISO!K30</f>
        <v>28865.32</v>
      </c>
      <c r="I23" s="5">
        <f>NYISO!L30</f>
        <v>35247</v>
      </c>
      <c r="J23" s="43">
        <f>NYISO!M30</f>
        <v>38387.81</v>
      </c>
      <c r="K23" s="42">
        <f>'Integration Analysis'!O13</f>
        <v>0</v>
      </c>
      <c r="L23" s="5">
        <f>'Integration Analysis'!Q13</f>
        <v>25656.99376878592</v>
      </c>
      <c r="M23" s="5">
        <f>'Integration Analysis'!R13</f>
        <v>41015.964262560832</v>
      </c>
      <c r="N23" s="43">
        <f>'Integration Analysis'!S13</f>
        <v>59777.950980425201</v>
      </c>
      <c r="O23" s="42">
        <f>'Integration Analysis'!O31</f>
        <v>0</v>
      </c>
      <c r="P23" s="5">
        <f>'Integration Analysis'!Q31</f>
        <v>27293.3506792673</v>
      </c>
      <c r="Q23" s="5">
        <f>'Integration Analysis'!R31</f>
        <v>43152.868559441173</v>
      </c>
      <c r="R23" s="43">
        <f>'Integration Analysis'!S31</f>
        <v>69388.445790199359</v>
      </c>
      <c r="S23" s="42">
        <f>'Integration Analysis'!O49</f>
        <v>0</v>
      </c>
      <c r="T23" s="5">
        <f>'Integration Analysis'!Q49</f>
        <v>27293.36790475743</v>
      </c>
      <c r="U23" s="5">
        <f>'Integration Analysis'!R49</f>
        <v>41237.052851156055</v>
      </c>
      <c r="V23" s="43">
        <f>'Integration Analysis'!S49</f>
        <v>65700.344305163773</v>
      </c>
      <c r="X23" s="60" t="s">
        <v>9</v>
      </c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7"/>
      <c r="AL23" s="67"/>
      <c r="AM23" s="67"/>
      <c r="AO23" s="68">
        <f>AVERAGE(F23,J23)</f>
        <v>37017.339999999997</v>
      </c>
      <c r="AP23" s="68">
        <f>AVERAGE(N23,R23,V23)</f>
        <v>64955.580358596111</v>
      </c>
      <c r="AQ23" s="68">
        <f>AO23-AP23</f>
        <v>-27938.240358596115</v>
      </c>
      <c r="AR23" s="66">
        <f>AQ23/AP23</f>
        <v>-0.43011301268280971</v>
      </c>
    </row>
    <row r="24" spans="2:46" x14ac:dyDescent="0.3">
      <c r="B24" s="69" t="s">
        <v>38</v>
      </c>
      <c r="C24" s="70">
        <f>NYISO!B31+NYISO!B32</f>
        <v>2811.8469999999998</v>
      </c>
      <c r="D24" s="71">
        <f>NYISO!D31+NYISO!D32</f>
        <v>19884.22</v>
      </c>
      <c r="E24" s="71">
        <f>NYISO!E31+NYISO!E32</f>
        <v>20799.870000000003</v>
      </c>
      <c r="F24" s="72">
        <f>NYISO!F31+NYISO!F32</f>
        <v>21272.79</v>
      </c>
      <c r="G24" s="70">
        <f>NYISO!I31+NYISO!I32</f>
        <v>2811.8469999999998</v>
      </c>
      <c r="H24" s="71">
        <f>NYISO!K31+NYISO!K32</f>
        <v>23277.55</v>
      </c>
      <c r="I24" s="71">
        <f>NYISO!L31+NYISO!L32</f>
        <v>36884.020000000004</v>
      </c>
      <c r="J24" s="72">
        <f>NYISO!M31+NYISO!M32</f>
        <v>60924.59</v>
      </c>
      <c r="K24" s="70">
        <f>'Integration Analysis'!O14</f>
        <v>3908.3566481261523</v>
      </c>
      <c r="L24" s="71">
        <f>'Integration Analysis'!Q14</f>
        <v>32964.639999354833</v>
      </c>
      <c r="M24" s="71">
        <f>'Integration Analysis'!R14</f>
        <v>52780.975238022394</v>
      </c>
      <c r="N24" s="72">
        <f>'Integration Analysis'!S14</f>
        <v>80619.969541079321</v>
      </c>
      <c r="O24" s="70">
        <f>'Integration Analysis'!O32</f>
        <v>3908.355256130696</v>
      </c>
      <c r="P24" s="71">
        <f>'Integration Analysis'!Q32</f>
        <v>28595.686578981265</v>
      </c>
      <c r="Q24" s="71">
        <f>'Integration Analysis'!R32</f>
        <v>51328.322396949254</v>
      </c>
      <c r="R24" s="72">
        <f>'Integration Analysis'!S32</f>
        <v>75966.090521392369</v>
      </c>
      <c r="S24" s="70">
        <f>'Integration Analysis'!O50</f>
        <v>3908.3878944802427</v>
      </c>
      <c r="T24" s="71">
        <f>'Integration Analysis'!Q50</f>
        <v>31293.23238481284</v>
      </c>
      <c r="U24" s="71">
        <f>'Integration Analysis'!R50</f>
        <v>53920.944568360836</v>
      </c>
      <c r="V24" s="72">
        <f>'Integration Analysis'!S50</f>
        <v>76464.762830184962</v>
      </c>
      <c r="W24" s="73"/>
      <c r="X24" s="69" t="s">
        <v>38</v>
      </c>
      <c r="Y24" s="74">
        <f t="shared" ref="Y24:Y25" si="67">(D24-C24)/C24</f>
        <v>6.0715867541868391</v>
      </c>
      <c r="Z24" s="74">
        <f t="shared" ref="Z24:Z25" si="68">(E24-C24)/C24</f>
        <v>6.3972268050146406</v>
      </c>
      <c r="AA24" s="74">
        <f t="shared" ref="AA24:AA25" si="69">(F24-C24)/C24</f>
        <v>6.5654151879529721</v>
      </c>
      <c r="AB24" s="74">
        <f t="shared" ref="AB24:AB25" si="70">(H24-G24)/G24</f>
        <v>7.2783842790877324</v>
      </c>
      <c r="AC24" s="74">
        <f t="shared" ref="AC24:AC25" si="71">(I24-G24)/G24</f>
        <v>12.11736378259557</v>
      </c>
      <c r="AD24" s="74">
        <f t="shared" ref="AD24:AD25" si="72">(J24-G24)/G24</f>
        <v>20.66710706521372</v>
      </c>
      <c r="AE24" s="74">
        <f t="shared" ref="AE24:AE25" si="73">(L24-K24)/K24</f>
        <v>7.4343991521755344</v>
      </c>
      <c r="AF24" s="74">
        <f t="shared" ref="AF24:AF25" si="74">(M24-K24)/K24</f>
        <v>12.504646579100719</v>
      </c>
      <c r="AG24" s="74">
        <f t="shared" ref="AG24:AG25" si="75">(N24-K24)/K24</f>
        <v>19.627587704856023</v>
      </c>
      <c r="AH24" s="74">
        <f t="shared" ref="AH24:AH25" si="76">(P24-O24)/O24</f>
        <v>6.3165525406437162</v>
      </c>
      <c r="AI24" s="74">
        <f t="shared" ref="AI24:AI25" si="77">(Q24-O24)/O24</f>
        <v>12.132972576235233</v>
      </c>
      <c r="AJ24" s="74">
        <f t="shared" ref="AJ24:AJ25" si="78">(R24-O24)/O24</f>
        <v>18.43684377264093</v>
      </c>
      <c r="AK24" s="74">
        <f t="shared" ref="AK24:AK25" si="79">(T24-S24)/S24</f>
        <v>7.0066854236775731</v>
      </c>
      <c r="AL24" s="74">
        <f t="shared" ref="AL24:AL25" si="80">(U24-S24)/S24</f>
        <v>12.796211129533118</v>
      </c>
      <c r="AM24" s="74">
        <f t="shared" ref="AM24:AM25" si="81">(V24-S24)/S24</f>
        <v>18.564271739295631</v>
      </c>
      <c r="AO24" s="68">
        <f>F24</f>
        <v>21272.79</v>
      </c>
      <c r="AP24" s="68">
        <f>AVERAGE(N24,R24,V24,J24)</f>
        <v>73493.853223164158</v>
      </c>
      <c r="AQ24" s="68">
        <f>AO24-AP24</f>
        <v>-52221.063223164158</v>
      </c>
      <c r="AR24" s="66">
        <f>AQ24/AP24</f>
        <v>-0.71055007912831636</v>
      </c>
    </row>
    <row r="25" spans="2:46" x14ac:dyDescent="0.3">
      <c r="B25" s="60" t="s">
        <v>12</v>
      </c>
      <c r="C25" s="42">
        <f>NYISO!B33</f>
        <v>611.56729479980459</v>
      </c>
      <c r="D25" s="5">
        <f>NYISO!D33</f>
        <v>7003.7100000000009</v>
      </c>
      <c r="E25" s="5">
        <f>NYISO!E33</f>
        <v>10084.120000000001</v>
      </c>
      <c r="F25" s="43">
        <f>NYISO!F33</f>
        <v>21339.48</v>
      </c>
      <c r="G25" s="42">
        <f>NYISO!I33</f>
        <v>611.56729479980459</v>
      </c>
      <c r="H25" s="5">
        <f>NYISO!K33</f>
        <v>2085.9100000000003</v>
      </c>
      <c r="I25" s="5">
        <f>NYISO!L33</f>
        <v>4492.1399999999994</v>
      </c>
      <c r="J25" s="43">
        <f>NYISO!M33</f>
        <v>13413.65</v>
      </c>
      <c r="K25" s="42">
        <f>'Integration Analysis'!O15+'Integration Analysis'!O16</f>
        <v>-89.958801205792241</v>
      </c>
      <c r="L25" s="5">
        <f>'Integration Analysis'!Q15+'Integration Analysis'!Q16</f>
        <v>-1007.0576774312483</v>
      </c>
      <c r="M25" s="5">
        <f>'Integration Analysis'!R15+'Integration Analysis'!R16</f>
        <v>-1666.4706621253326</v>
      </c>
      <c r="N25" s="43">
        <f>'Integration Analysis'!S15+'Integration Analysis'!S16</f>
        <v>-2543.3678620826149</v>
      </c>
      <c r="O25" s="42">
        <f>'Integration Analysis'!O33+'Integration Analysis'!O34</f>
        <v>-89.870237012266159</v>
      </c>
      <c r="P25" s="5">
        <f>'Integration Analysis'!Q33+'Integration Analysis'!Q34</f>
        <v>-1044.7773438845697</v>
      </c>
      <c r="Q25" s="5">
        <f>'Integration Analysis'!R33+'Integration Analysis'!R34</f>
        <v>-1989.1164210661975</v>
      </c>
      <c r="R25" s="43">
        <f>'Integration Analysis'!S33+'Integration Analysis'!S34</f>
        <v>-2730.4350710968147</v>
      </c>
      <c r="S25" s="42">
        <f>'Integration Analysis'!O51+'Integration Analysis'!O52</f>
        <v>-89.501482988115512</v>
      </c>
      <c r="T25" s="5">
        <f>'Integration Analysis'!Q51+'Integration Analysis'!Q52</f>
        <v>-1031.9950819650567</v>
      </c>
      <c r="U25" s="5">
        <f>'Integration Analysis'!R51+'Integration Analysis'!R52</f>
        <v>-1943.7355831493678</v>
      </c>
      <c r="V25" s="43">
        <f>'Integration Analysis'!S51+'Integration Analysis'!S52</f>
        <v>-2725.9937712272531</v>
      </c>
      <c r="X25" s="60" t="s">
        <v>12</v>
      </c>
      <c r="Y25" s="67">
        <f t="shared" si="67"/>
        <v>10.452067596735453</v>
      </c>
      <c r="Z25" s="67">
        <f t="shared" si="68"/>
        <v>15.488978540458117</v>
      </c>
      <c r="AA25" s="67">
        <f t="shared" si="69"/>
        <v>33.89310200439256</v>
      </c>
      <c r="AB25" s="67">
        <f t="shared" si="70"/>
        <v>2.4107611995223177</v>
      </c>
      <c r="AC25" s="67">
        <f t="shared" si="71"/>
        <v>6.3452914146929542</v>
      </c>
      <c r="AD25" s="67">
        <f t="shared" si="72"/>
        <v>20.933236316031145</v>
      </c>
      <c r="AE25" s="67">
        <f t="shared" si="73"/>
        <v>10.194654263205168</v>
      </c>
      <c r="AF25" s="67">
        <f t="shared" si="74"/>
        <v>17.52482069334237</v>
      </c>
      <c r="AG25" s="67">
        <f t="shared" si="75"/>
        <v>27.272585094418236</v>
      </c>
      <c r="AH25" s="67">
        <f t="shared" si="76"/>
        <v>10.625398781823293</v>
      </c>
      <c r="AI25" s="67">
        <f t="shared" si="77"/>
        <v>21.133205465950958</v>
      </c>
      <c r="AJ25" s="67">
        <f t="shared" si="78"/>
        <v>29.381972518044485</v>
      </c>
      <c r="AK25" s="67">
        <f t="shared" si="79"/>
        <v>10.530480250277982</v>
      </c>
      <c r="AL25" s="67">
        <f t="shared" si="80"/>
        <v>20.717356162774056</v>
      </c>
      <c r="AM25" s="67">
        <f t="shared" si="81"/>
        <v>29.457526291371341</v>
      </c>
    </row>
    <row r="26" spans="2:46" x14ac:dyDescent="0.3">
      <c r="B26" s="60" t="s">
        <v>48</v>
      </c>
      <c r="C26" s="42">
        <f>SUM(NYISO!B25:B27)</f>
        <v>0</v>
      </c>
      <c r="D26" s="5">
        <f>SUM(NYISO!D25:D27)</f>
        <v>0</v>
      </c>
      <c r="E26" s="5">
        <f>SUM(NYISO!E25:E27)</f>
        <v>0</v>
      </c>
      <c r="F26" s="87">
        <f>SUM(NYISO!F25:F27)</f>
        <v>34005.49</v>
      </c>
      <c r="G26" s="42">
        <f>SUM(NYISO!I25:I27)</f>
        <v>0</v>
      </c>
      <c r="H26" s="5">
        <f>SUM(NYISO!K25:K27)</f>
        <v>0</v>
      </c>
      <c r="I26" s="5">
        <f>SUM(NYISO!L25:L27)</f>
        <v>0</v>
      </c>
      <c r="J26" s="87">
        <f>SUM(NYISO!M25:M27)</f>
        <v>5583.72</v>
      </c>
      <c r="K26" s="42">
        <f>'Integration Analysis'!O6</f>
        <v>0</v>
      </c>
      <c r="L26" s="5">
        <f>'Integration Analysis'!Q6</f>
        <v>0</v>
      </c>
      <c r="M26" s="5">
        <f>'Integration Analysis'!R6</f>
        <v>0</v>
      </c>
      <c r="N26" s="87">
        <f>'Integration Analysis'!S6</f>
        <v>3342.261778048708</v>
      </c>
      <c r="O26" s="42">
        <f>'Integration Analysis'!O24</f>
        <v>0</v>
      </c>
      <c r="P26" s="5">
        <f>'Integration Analysis'!Q24</f>
        <v>0</v>
      </c>
      <c r="Q26" s="5">
        <f>'Integration Analysis'!R24</f>
        <v>0</v>
      </c>
      <c r="R26" s="43">
        <f>'Integration Analysis'!S24</f>
        <v>4439.5271773271261</v>
      </c>
      <c r="S26" s="42">
        <f>'Integration Analysis'!O42</f>
        <v>0</v>
      </c>
      <c r="T26" s="5">
        <f>'Integration Analysis'!Q42</f>
        <v>0</v>
      </c>
      <c r="U26" s="5">
        <f>'Integration Analysis'!R42</f>
        <v>0</v>
      </c>
      <c r="V26" s="43">
        <f>'Integration Analysis'!S42</f>
        <v>4643.5427447130514</v>
      </c>
      <c r="X26" s="60" t="s">
        <v>48</v>
      </c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65"/>
      <c r="AO26" s="68">
        <f>F26</f>
        <v>34005.49</v>
      </c>
      <c r="AP26" s="68">
        <f>AVERAGE(N26,R26,V26,J26)</f>
        <v>4502.2629250222217</v>
      </c>
      <c r="AQ26" s="68">
        <f>AO26-AP26</f>
        <v>29503.227074977774</v>
      </c>
      <c r="AR26" s="66">
        <f>AQ26/AP26</f>
        <v>6.5529773730023013</v>
      </c>
    </row>
    <row r="27" spans="2:46" x14ac:dyDescent="0.3">
      <c r="B27" s="60" t="s">
        <v>50</v>
      </c>
      <c r="C27" s="42"/>
      <c r="D27" s="5"/>
      <c r="E27" s="5"/>
      <c r="F27" s="43"/>
      <c r="G27" s="42"/>
      <c r="H27" s="5"/>
      <c r="I27" s="5"/>
      <c r="J27" s="43"/>
      <c r="K27" s="42">
        <f>'Integration Analysis'!O7</f>
        <v>2721.2064001192771</v>
      </c>
      <c r="L27" s="5">
        <f>'Integration Analysis'!Q7</f>
        <v>2721.2064001192771</v>
      </c>
      <c r="M27" s="5">
        <f>'Integration Analysis'!R7</f>
        <v>2721.2064001192771</v>
      </c>
      <c r="N27" s="43">
        <f>'Integration Analysis'!S7</f>
        <v>2721.2064001192771</v>
      </c>
      <c r="O27" s="42">
        <f>'Integration Analysis'!O25</f>
        <v>2721.2064001192771</v>
      </c>
      <c r="P27" s="5">
        <f>'Integration Analysis'!Q25</f>
        <v>2721.2064001192771</v>
      </c>
      <c r="Q27" s="5">
        <f>'Integration Analysis'!R25</f>
        <v>2721.2064001192771</v>
      </c>
      <c r="R27" s="43">
        <f>'Integration Analysis'!S25</f>
        <v>2721.2064001192771</v>
      </c>
      <c r="S27" s="42">
        <f>'Integration Analysis'!O43</f>
        <v>2721.2064001192689</v>
      </c>
      <c r="T27" s="5">
        <f>'Integration Analysis'!Q43</f>
        <v>2721.2064001192689</v>
      </c>
      <c r="U27" s="5">
        <f>'Integration Analysis'!R43</f>
        <v>2721.2064001192689</v>
      </c>
      <c r="V27" s="43">
        <f>'Integration Analysis'!S43</f>
        <v>2721.2064001192689</v>
      </c>
      <c r="X27" s="60" t="s">
        <v>50</v>
      </c>
      <c r="Y27" s="5"/>
      <c r="Z27" s="5"/>
      <c r="AA27" s="43"/>
      <c r="AB27" s="5"/>
      <c r="AC27" s="5"/>
      <c r="AD27" s="43"/>
      <c r="AE27" s="5"/>
      <c r="AF27" s="5"/>
      <c r="AG27" s="43"/>
      <c r="AH27" s="5"/>
      <c r="AI27" s="5"/>
      <c r="AJ27" s="43"/>
      <c r="AK27" s="5"/>
      <c r="AL27" s="5"/>
      <c r="AM27" s="43"/>
    </row>
    <row r="28" spans="2:46" ht="15" thickBot="1" x14ac:dyDescent="0.35">
      <c r="B28" s="62" t="s">
        <v>13</v>
      </c>
      <c r="C28" s="44">
        <f t="shared" ref="C28:U28" si="82">SUM(C19:C27)</f>
        <v>143820.75728190708</v>
      </c>
      <c r="D28" s="45">
        <f t="shared" si="82"/>
        <v>167818.41999999998</v>
      </c>
      <c r="E28" s="45">
        <f t="shared" si="82"/>
        <v>193887.06</v>
      </c>
      <c r="F28" s="46">
        <f t="shared" si="82"/>
        <v>245109.42</v>
      </c>
      <c r="G28" s="44">
        <f t="shared" si="82"/>
        <v>143820.75728190708</v>
      </c>
      <c r="H28" s="45">
        <f t="shared" si="82"/>
        <v>164575.03999999998</v>
      </c>
      <c r="I28" s="45">
        <f t="shared" si="82"/>
        <v>207722.49000000005</v>
      </c>
      <c r="J28" s="46">
        <f t="shared" si="82"/>
        <v>251154.56</v>
      </c>
      <c r="K28" s="44">
        <f t="shared" si="82"/>
        <v>157584.44658351052</v>
      </c>
      <c r="L28" s="45">
        <f t="shared" si="82"/>
        <v>178144.63262896612</v>
      </c>
      <c r="M28" s="45">
        <f t="shared" si="82"/>
        <v>225077.90174333836</v>
      </c>
      <c r="N28" s="46">
        <f t="shared" si="82"/>
        <v>260701.12320977633</v>
      </c>
      <c r="O28" s="44">
        <f t="shared" si="82"/>
        <v>157596.04631325486</v>
      </c>
      <c r="P28" s="45">
        <f t="shared" si="82"/>
        <v>181517.75879101135</v>
      </c>
      <c r="Q28" s="45">
        <f t="shared" si="82"/>
        <v>228529.20246487545</v>
      </c>
      <c r="R28" s="46">
        <f t="shared" si="82"/>
        <v>267141.59742742631</v>
      </c>
      <c r="S28" s="44">
        <f t="shared" si="82"/>
        <v>157594.47011441438</v>
      </c>
      <c r="T28" s="45">
        <f t="shared" si="82"/>
        <v>182716.91744704271</v>
      </c>
      <c r="U28" s="45">
        <f t="shared" si="82"/>
        <v>228663.02263953339</v>
      </c>
      <c r="V28" s="46">
        <f t="shared" ref="V28" si="83">SUM(V19:V27)</f>
        <v>264709.62330616341</v>
      </c>
      <c r="X28" s="62" t="s">
        <v>13</v>
      </c>
      <c r="Y28" s="45"/>
      <c r="Z28" s="45"/>
      <c r="AA28" s="46"/>
      <c r="AB28" s="45"/>
      <c r="AC28" s="45"/>
      <c r="AD28" s="46"/>
      <c r="AE28" s="45"/>
      <c r="AF28" s="45"/>
      <c r="AG28" s="46"/>
      <c r="AH28" s="45"/>
      <c r="AI28" s="45"/>
      <c r="AJ28" s="46"/>
      <c r="AK28" s="45"/>
      <c r="AL28" s="45"/>
      <c r="AM28" s="46"/>
      <c r="AT28" s="86">
        <f>(L28-H28)/H28</f>
        <v>8.2452312507207318E-2</v>
      </c>
    </row>
    <row r="30" spans="2:46" ht="15" thickBot="1" x14ac:dyDescent="0.35">
      <c r="B30" s="2" t="s">
        <v>122</v>
      </c>
    </row>
    <row r="31" spans="2:46" x14ac:dyDescent="0.3">
      <c r="B31" s="57"/>
      <c r="C31" s="76" t="s">
        <v>59</v>
      </c>
      <c r="D31" s="77"/>
      <c r="E31" s="77"/>
      <c r="F31" s="78"/>
      <c r="G31" s="76" t="s">
        <v>60</v>
      </c>
      <c r="H31" s="77"/>
      <c r="I31" s="77"/>
      <c r="J31" s="78"/>
      <c r="K31" s="79" t="s">
        <v>49</v>
      </c>
      <c r="L31" s="80"/>
      <c r="M31" s="81"/>
      <c r="N31" s="82"/>
      <c r="O31" s="79" t="s">
        <v>51</v>
      </c>
      <c r="P31" s="80"/>
      <c r="Q31" s="81"/>
      <c r="R31" s="82"/>
      <c r="S31" s="79" t="s">
        <v>52</v>
      </c>
      <c r="T31" s="80"/>
      <c r="U31" s="81"/>
      <c r="V31" s="82"/>
    </row>
    <row r="32" spans="2:46" x14ac:dyDescent="0.3">
      <c r="B32" s="58" t="s">
        <v>1</v>
      </c>
      <c r="C32" s="40">
        <v>2019</v>
      </c>
      <c r="D32" s="48">
        <v>2030</v>
      </c>
      <c r="E32" s="48">
        <v>2035</v>
      </c>
      <c r="F32" s="41">
        <v>2040</v>
      </c>
      <c r="G32" s="40">
        <v>2019</v>
      </c>
      <c r="H32" s="48">
        <v>2030</v>
      </c>
      <c r="I32" s="48">
        <v>2035</v>
      </c>
      <c r="J32" s="41">
        <v>2040</v>
      </c>
      <c r="K32" s="40">
        <v>2020</v>
      </c>
      <c r="L32" s="48">
        <v>2030</v>
      </c>
      <c r="M32" s="48">
        <v>2035</v>
      </c>
      <c r="N32" s="41">
        <v>2040</v>
      </c>
      <c r="O32" s="40">
        <v>2020</v>
      </c>
      <c r="P32" s="48">
        <v>2030</v>
      </c>
      <c r="Q32" s="48">
        <v>2035</v>
      </c>
      <c r="R32" s="41">
        <v>2040</v>
      </c>
      <c r="S32" s="40">
        <v>2020</v>
      </c>
      <c r="T32" s="48">
        <v>2030</v>
      </c>
      <c r="U32" s="48">
        <v>2035</v>
      </c>
      <c r="V32" s="41">
        <v>2040</v>
      </c>
    </row>
    <row r="33" spans="2:22" x14ac:dyDescent="0.3">
      <c r="B33" s="59" t="s">
        <v>2</v>
      </c>
      <c r="C33" s="75">
        <f>IF(C5&gt;0,C19/(C5*8.76),"")</f>
        <v>0.96033440414758386</v>
      </c>
      <c r="D33" s="75">
        <f t="shared" ref="D33:V41" si="84">IF(D5&gt;0,D19/(D5*8.76),"")</f>
        <v>0.93143455834288724</v>
      </c>
      <c r="E33" s="75">
        <f t="shared" si="84"/>
        <v>0.96157967630698649</v>
      </c>
      <c r="F33" s="75">
        <f t="shared" si="84"/>
        <v>0.91930097163281721</v>
      </c>
      <c r="G33" s="75">
        <f t="shared" si="84"/>
        <v>0.96033440414758386</v>
      </c>
      <c r="H33" s="75">
        <f t="shared" si="84"/>
        <v>0.9362780959882554</v>
      </c>
      <c r="I33" s="75">
        <f t="shared" si="84"/>
        <v>0.96157967630698649</v>
      </c>
      <c r="J33" s="75">
        <f t="shared" si="84"/>
        <v>0.91930097163281721</v>
      </c>
      <c r="K33" s="75">
        <f t="shared" si="84"/>
        <v>0.9000000000394478</v>
      </c>
      <c r="L33" s="75">
        <f t="shared" si="84"/>
        <v>0.9000000000394468</v>
      </c>
      <c r="M33" s="75">
        <f t="shared" si="84"/>
        <v>0.9000000000394468</v>
      </c>
      <c r="N33" s="75">
        <f t="shared" si="84"/>
        <v>0.9000000000394468</v>
      </c>
      <c r="O33" s="75">
        <f t="shared" si="84"/>
        <v>0.9000000000394478</v>
      </c>
      <c r="P33" s="75">
        <f t="shared" si="84"/>
        <v>0.9000000000394468</v>
      </c>
      <c r="Q33" s="75">
        <f t="shared" si="84"/>
        <v>0.9000000000394468</v>
      </c>
      <c r="R33" s="75">
        <f t="shared" si="84"/>
        <v>0.9000000000394468</v>
      </c>
      <c r="S33" s="75">
        <f t="shared" si="84"/>
        <v>0.90000000003945013</v>
      </c>
      <c r="T33" s="75">
        <f t="shared" si="84"/>
        <v>0.90000000003945035</v>
      </c>
      <c r="U33" s="75">
        <f t="shared" si="84"/>
        <v>0.90000000003945035</v>
      </c>
      <c r="V33" s="75">
        <f t="shared" si="84"/>
        <v>0.90000000003945035</v>
      </c>
    </row>
    <row r="34" spans="2:22" x14ac:dyDescent="0.3">
      <c r="B34" s="60" t="s">
        <v>3</v>
      </c>
      <c r="C34" s="75">
        <f t="shared" ref="C34:R41" si="85">IF(C6&gt;0,C20/(C6*8.76),"")</f>
        <v>0.21959809395295185</v>
      </c>
      <c r="D34" s="75">
        <f t="shared" si="85"/>
        <v>0.10746466529983824</v>
      </c>
      <c r="E34" s="75">
        <f t="shared" si="85"/>
        <v>7.8041006280982275E-2</v>
      </c>
      <c r="F34" s="75" t="str">
        <f t="shared" si="85"/>
        <v/>
      </c>
      <c r="G34" s="75">
        <f t="shared" si="85"/>
        <v>0.21959809395295185</v>
      </c>
      <c r="H34" s="75">
        <f t="shared" si="85"/>
        <v>0.12978346074740968</v>
      </c>
      <c r="I34" s="75">
        <f t="shared" si="85"/>
        <v>0.13431373757430945</v>
      </c>
      <c r="J34" s="75" t="str">
        <f t="shared" si="85"/>
        <v/>
      </c>
      <c r="K34" s="75">
        <f t="shared" si="85"/>
        <v>0.30476510757486946</v>
      </c>
      <c r="L34" s="75">
        <f t="shared" si="85"/>
        <v>0.12993509637902589</v>
      </c>
      <c r="M34" s="75">
        <f t="shared" si="85"/>
        <v>0.12408613447558367</v>
      </c>
      <c r="N34" s="75" t="str">
        <f t="shared" si="85"/>
        <v/>
      </c>
      <c r="O34" s="75">
        <f t="shared" si="85"/>
        <v>0.30481332786614423</v>
      </c>
      <c r="P34" s="75">
        <f t="shared" si="85"/>
        <v>0.13082540652115615</v>
      </c>
      <c r="Q34" s="75">
        <f t="shared" si="85"/>
        <v>0.16957391355844925</v>
      </c>
      <c r="R34" s="75" t="str">
        <f t="shared" si="85"/>
        <v/>
      </c>
      <c r="S34" s="75">
        <f t="shared" si="84"/>
        <v>0.30480508729495986</v>
      </c>
      <c r="T34" s="75">
        <f t="shared" si="84"/>
        <v>0.13535554898269908</v>
      </c>
      <c r="U34" s="75">
        <f t="shared" si="84"/>
        <v>0.11709442397700284</v>
      </c>
      <c r="V34" s="75" t="str">
        <f t="shared" si="84"/>
        <v/>
      </c>
    </row>
    <row r="35" spans="2:22" x14ac:dyDescent="0.3">
      <c r="B35" s="61" t="s">
        <v>7</v>
      </c>
      <c r="C35" s="75">
        <f t="shared" si="85"/>
        <v>0.72188351218095981</v>
      </c>
      <c r="D35" s="75">
        <f t="shared" si="84"/>
        <v>0.70189532376679653</v>
      </c>
      <c r="E35" s="75">
        <f t="shared" si="84"/>
        <v>0.70240925196086679</v>
      </c>
      <c r="F35" s="75">
        <f t="shared" si="84"/>
        <v>0.70235215598553236</v>
      </c>
      <c r="G35" s="75">
        <f t="shared" si="84"/>
        <v>0.72188351218095981</v>
      </c>
      <c r="H35" s="75">
        <f t="shared" si="84"/>
        <v>0.69060583621070426</v>
      </c>
      <c r="I35" s="75">
        <f t="shared" si="84"/>
        <v>0.69832470181536199</v>
      </c>
      <c r="J35" s="75">
        <f t="shared" si="84"/>
        <v>0.69826815326420755</v>
      </c>
      <c r="K35" s="75">
        <f t="shared" si="84"/>
        <v>0.74362248786708163</v>
      </c>
      <c r="L35" s="75">
        <f t="shared" si="84"/>
        <v>0.77676172799509347</v>
      </c>
      <c r="M35" s="75">
        <f t="shared" si="84"/>
        <v>0.77841362409056791</v>
      </c>
      <c r="N35" s="75">
        <f t="shared" si="84"/>
        <v>0.76379294472480741</v>
      </c>
      <c r="O35" s="75">
        <f t="shared" si="84"/>
        <v>0.74362967783303868</v>
      </c>
      <c r="P35" s="75">
        <f t="shared" si="84"/>
        <v>0.77696796737580476</v>
      </c>
      <c r="Q35" s="75">
        <f t="shared" si="84"/>
        <v>0.77852671897724635</v>
      </c>
      <c r="R35" s="75">
        <f t="shared" si="84"/>
        <v>0.76281868088588389</v>
      </c>
      <c r="S35" s="75">
        <f t="shared" si="84"/>
        <v>0.74362800006875585</v>
      </c>
      <c r="T35" s="75">
        <f t="shared" si="84"/>
        <v>0.77690858990558642</v>
      </c>
      <c r="U35" s="75">
        <f t="shared" si="84"/>
        <v>0.77854104948267155</v>
      </c>
      <c r="V35" s="75">
        <f t="shared" si="84"/>
        <v>0.76345730262973299</v>
      </c>
    </row>
    <row r="36" spans="2:22" x14ac:dyDescent="0.3">
      <c r="B36" s="60" t="s">
        <v>8</v>
      </c>
      <c r="C36" s="75">
        <f t="shared" si="85"/>
        <v>0.25389845851073756</v>
      </c>
      <c r="D36" s="75">
        <f t="shared" si="84"/>
        <v>0.33885548147730471</v>
      </c>
      <c r="E36" s="75">
        <f t="shared" si="84"/>
        <v>0.34663944080355213</v>
      </c>
      <c r="F36" s="75">
        <f t="shared" si="84"/>
        <v>0.35502539079956236</v>
      </c>
      <c r="G36" s="75">
        <f t="shared" si="84"/>
        <v>0.25389845851073756</v>
      </c>
      <c r="H36" s="75">
        <f t="shared" si="84"/>
        <v>0.31967300154727663</v>
      </c>
      <c r="I36" s="75">
        <f t="shared" si="84"/>
        <v>0.34580066638072465</v>
      </c>
      <c r="J36" s="75">
        <f t="shared" si="84"/>
        <v>0.35502539079956236</v>
      </c>
      <c r="K36" s="75">
        <f t="shared" si="84"/>
        <v>0.28562266530805652</v>
      </c>
      <c r="L36" s="75">
        <f t="shared" si="84"/>
        <v>0.3444165388956999</v>
      </c>
      <c r="M36" s="75">
        <f t="shared" si="84"/>
        <v>0.38626244622632999</v>
      </c>
      <c r="N36" s="75">
        <f t="shared" si="84"/>
        <v>0.38385492001085147</v>
      </c>
      <c r="O36" s="75">
        <f t="shared" si="84"/>
        <v>0.28562287761556782</v>
      </c>
      <c r="P36" s="75">
        <f t="shared" si="84"/>
        <v>0.35510217601814253</v>
      </c>
      <c r="Q36" s="75">
        <f t="shared" si="84"/>
        <v>0.38007224503401871</v>
      </c>
      <c r="R36" s="75">
        <f t="shared" si="84"/>
        <v>0.38106005735329762</v>
      </c>
      <c r="S36" s="75">
        <f t="shared" si="84"/>
        <v>0.28562358407680322</v>
      </c>
      <c r="T36" s="75">
        <f t="shared" si="84"/>
        <v>0.35807249717678957</v>
      </c>
      <c r="U36" s="75">
        <f t="shared" si="84"/>
        <v>0.3853097025247062</v>
      </c>
      <c r="V36" s="75">
        <f t="shared" si="84"/>
        <v>0.38092571864251767</v>
      </c>
    </row>
    <row r="37" spans="2:22" x14ac:dyDescent="0.3">
      <c r="B37" s="60" t="s">
        <v>9</v>
      </c>
      <c r="C37" s="75" t="str">
        <f t="shared" si="85"/>
        <v/>
      </c>
      <c r="D37" s="75">
        <f t="shared" si="84"/>
        <v>0.4575619466779825</v>
      </c>
      <c r="E37" s="75">
        <f t="shared" si="84"/>
        <v>0.44976686960933537</v>
      </c>
      <c r="F37" s="75">
        <f t="shared" si="84"/>
        <v>0.45214193302891925</v>
      </c>
      <c r="G37" s="75" t="str">
        <f t="shared" si="84"/>
        <v/>
      </c>
      <c r="H37" s="75">
        <f t="shared" si="84"/>
        <v>0.44313177163545969</v>
      </c>
      <c r="I37" s="75">
        <f t="shared" si="84"/>
        <v>0.44707001522070017</v>
      </c>
      <c r="J37" s="75">
        <f t="shared" si="84"/>
        <v>0.45084054437491777</v>
      </c>
      <c r="K37" s="75" t="str">
        <f t="shared" si="84"/>
        <v/>
      </c>
      <c r="L37" s="75">
        <f t="shared" si="84"/>
        <v>0.47240009148596845</v>
      </c>
      <c r="M37" s="75">
        <f t="shared" si="84"/>
        <v>0.47264270584728807</v>
      </c>
      <c r="N37" s="75">
        <f t="shared" si="84"/>
        <v>0.47508585957593324</v>
      </c>
      <c r="O37" s="75" t="str">
        <f t="shared" si="84"/>
        <v/>
      </c>
      <c r="P37" s="75">
        <f t="shared" si="84"/>
        <v>0.47207262140700323</v>
      </c>
      <c r="Q37" s="75">
        <f t="shared" si="84"/>
        <v>0.47263167797027011</v>
      </c>
      <c r="R37" s="75">
        <f t="shared" si="84"/>
        <v>0.47271567347948235</v>
      </c>
      <c r="S37" s="75" t="str">
        <f t="shared" si="84"/>
        <v/>
      </c>
      <c r="T37" s="75">
        <f t="shared" si="84"/>
        <v>0.47207291934338991</v>
      </c>
      <c r="U37" s="75">
        <f t="shared" si="84"/>
        <v>0.47228035729948642</v>
      </c>
      <c r="V37" s="75">
        <f t="shared" si="84"/>
        <v>0.47245324181494425</v>
      </c>
    </row>
    <row r="38" spans="2:22" x14ac:dyDescent="0.3">
      <c r="B38" s="69" t="s">
        <v>38</v>
      </c>
      <c r="C38" s="75">
        <f t="shared" si="85"/>
        <v>0.14947012826850803</v>
      </c>
      <c r="D38" s="75">
        <f t="shared" si="84"/>
        <v>0.15408816231332906</v>
      </c>
      <c r="E38" s="75">
        <f t="shared" si="84"/>
        <v>0.15314751475813779</v>
      </c>
      <c r="F38" s="75">
        <f t="shared" si="84"/>
        <v>0.15297879469900702</v>
      </c>
      <c r="G38" s="75">
        <f t="shared" si="84"/>
        <v>0.14947012826850803</v>
      </c>
      <c r="H38" s="75">
        <f t="shared" si="84"/>
        <v>0.18714246439633822</v>
      </c>
      <c r="I38" s="75">
        <f t="shared" si="84"/>
        <v>0.16809012088702807</v>
      </c>
      <c r="J38" s="75">
        <f t="shared" si="84"/>
        <v>0.15674793242206889</v>
      </c>
      <c r="K38" s="75">
        <f t="shared" si="84"/>
        <v>0.17214003747052181</v>
      </c>
      <c r="L38" s="75">
        <f t="shared" si="84"/>
        <v>0.19961238840912746</v>
      </c>
      <c r="M38" s="75">
        <f t="shared" si="84"/>
        <v>0.20780982107959492</v>
      </c>
      <c r="N38" s="75">
        <f t="shared" si="84"/>
        <v>0.21189914037905791</v>
      </c>
      <c r="O38" s="75">
        <f t="shared" si="84"/>
        <v>0.17213997616133958</v>
      </c>
      <c r="P38" s="75">
        <f t="shared" si="84"/>
        <v>0.1947415703296968</v>
      </c>
      <c r="Q38" s="75">
        <f t="shared" si="84"/>
        <v>0.20469196399769984</v>
      </c>
      <c r="R38" s="75">
        <f t="shared" si="84"/>
        <v>0.20936415352061483</v>
      </c>
      <c r="S38" s="75">
        <f t="shared" si="84"/>
        <v>0.17214141368795749</v>
      </c>
      <c r="T38" s="75">
        <f t="shared" si="84"/>
        <v>0.19779742684210502</v>
      </c>
      <c r="U38" s="75">
        <f t="shared" si="84"/>
        <v>0.2062685553461478</v>
      </c>
      <c r="V38" s="75">
        <f t="shared" si="84"/>
        <v>0.20971006251186866</v>
      </c>
    </row>
    <row r="39" spans="2:22" x14ac:dyDescent="0.3">
      <c r="B39" s="60" t="s">
        <v>12</v>
      </c>
      <c r="C39" s="75">
        <f t="shared" si="85"/>
        <v>4.9685872422507618E-2</v>
      </c>
      <c r="D39" s="75">
        <f t="shared" si="84"/>
        <v>0.18129895779328398</v>
      </c>
      <c r="E39" s="75">
        <f t="shared" si="84"/>
        <v>0.1987296227998199</v>
      </c>
      <c r="F39" s="75">
        <f t="shared" si="84"/>
        <v>0.21275173066185304</v>
      </c>
      <c r="G39" s="75">
        <f t="shared" si="84"/>
        <v>4.9685872422507618E-2</v>
      </c>
      <c r="H39" s="75">
        <f t="shared" si="84"/>
        <v>5.399614048134331E-2</v>
      </c>
      <c r="I39" s="75">
        <f t="shared" si="84"/>
        <v>8.3416652681999867E-2</v>
      </c>
      <c r="J39" s="75">
        <f t="shared" si="84"/>
        <v>0.11953556112654165</v>
      </c>
      <c r="K39" s="75">
        <f t="shared" si="84"/>
        <v>-4.6990342930540007E-3</v>
      </c>
      <c r="L39" s="75">
        <f t="shared" si="84"/>
        <v>-2.5918601922053801E-2</v>
      </c>
      <c r="M39" s="75">
        <f t="shared" si="84"/>
        <v>-2.6325120454519204E-2</v>
      </c>
      <c r="N39" s="75">
        <f t="shared" si="84"/>
        <v>-2.3899010092660655E-2</v>
      </c>
      <c r="O39" s="75">
        <f t="shared" si="84"/>
        <v>-4.6943651455034234E-3</v>
      </c>
      <c r="P39" s="75">
        <f t="shared" si="84"/>
        <v>-2.6889391422343395E-2</v>
      </c>
      <c r="Q39" s="75">
        <f t="shared" si="84"/>
        <v>-2.3838293038743758E-2</v>
      </c>
      <c r="R39" s="75">
        <f t="shared" si="84"/>
        <v>-2.2847376144903887E-2</v>
      </c>
      <c r="S39" s="75">
        <f t="shared" si="84"/>
        <v>-4.6751460913561447E-3</v>
      </c>
      <c r="T39" s="75">
        <f t="shared" si="84"/>
        <v>-2.6560654404446056E-2</v>
      </c>
      <c r="U39" s="75">
        <f t="shared" si="84"/>
        <v>-2.8645741712693663E-2</v>
      </c>
      <c r="V39" s="75">
        <f t="shared" si="84"/>
        <v>-2.3916101227041041E-2</v>
      </c>
    </row>
    <row r="40" spans="2:22" x14ac:dyDescent="0.3">
      <c r="B40" s="60" t="s">
        <v>48</v>
      </c>
      <c r="C40" s="75" t="str">
        <f t="shared" si="85"/>
        <v/>
      </c>
      <c r="D40" s="75">
        <f t="shared" si="84"/>
        <v>0</v>
      </c>
      <c r="E40" s="75">
        <f t="shared" si="84"/>
        <v>0</v>
      </c>
      <c r="F40" s="75">
        <f t="shared" si="84"/>
        <v>8.6746040213459288E-2</v>
      </c>
      <c r="G40" s="75" t="str">
        <f t="shared" si="84"/>
        <v/>
      </c>
      <c r="H40" s="75">
        <f t="shared" si="84"/>
        <v>0</v>
      </c>
      <c r="I40" s="75">
        <f t="shared" si="84"/>
        <v>0</v>
      </c>
      <c r="J40" s="75">
        <f t="shared" si="84"/>
        <v>2.3434226430298147E-2</v>
      </c>
      <c r="K40" s="75" t="str">
        <f t="shared" si="84"/>
        <v/>
      </c>
      <c r="L40" s="75" t="str">
        <f t="shared" si="84"/>
        <v/>
      </c>
      <c r="M40" s="75" t="str">
        <f t="shared" si="84"/>
        <v/>
      </c>
      <c r="N40" s="75">
        <f t="shared" si="84"/>
        <v>1.8155145293985687E-2</v>
      </c>
      <c r="O40" s="75" t="str">
        <f t="shared" si="84"/>
        <v/>
      </c>
      <c r="P40" s="75" t="str">
        <f t="shared" si="84"/>
        <v/>
      </c>
      <c r="Q40" s="75">
        <f t="shared" si="84"/>
        <v>0</v>
      </c>
      <c r="R40" s="75">
        <f t="shared" si="84"/>
        <v>2.1545964361997887E-2</v>
      </c>
      <c r="S40" s="75" t="str">
        <f t="shared" si="84"/>
        <v/>
      </c>
      <c r="T40" s="75" t="str">
        <f t="shared" si="84"/>
        <v/>
      </c>
      <c r="U40" s="75" t="str">
        <f t="shared" si="84"/>
        <v/>
      </c>
      <c r="V40" s="75">
        <f t="shared" si="84"/>
        <v>2.238885450794012E-2</v>
      </c>
    </row>
    <row r="41" spans="2:22" x14ac:dyDescent="0.3">
      <c r="B41" s="60" t="s">
        <v>50</v>
      </c>
      <c r="C41" s="75" t="str">
        <f t="shared" si="85"/>
        <v/>
      </c>
      <c r="D41" s="75" t="str">
        <f t="shared" si="84"/>
        <v/>
      </c>
      <c r="E41" s="75" t="str">
        <f t="shared" si="84"/>
        <v/>
      </c>
      <c r="F41" s="75" t="str">
        <f t="shared" si="84"/>
        <v/>
      </c>
      <c r="G41" s="75" t="str">
        <f t="shared" si="84"/>
        <v/>
      </c>
      <c r="H41" s="75" t="str">
        <f t="shared" si="84"/>
        <v/>
      </c>
      <c r="I41" s="75" t="str">
        <f t="shared" si="84"/>
        <v/>
      </c>
      <c r="J41" s="75" t="str">
        <f t="shared" si="84"/>
        <v/>
      </c>
      <c r="K41" s="75">
        <f t="shared" si="84"/>
        <v>0.94996941900188414</v>
      </c>
      <c r="L41" s="75">
        <f t="shared" si="84"/>
        <v>0.94996941900188414</v>
      </c>
      <c r="M41" s="75">
        <f t="shared" si="84"/>
        <v>0.94996941900188414</v>
      </c>
      <c r="N41" s="75">
        <f t="shared" si="84"/>
        <v>0.94996941900188414</v>
      </c>
      <c r="O41" s="75">
        <f t="shared" si="84"/>
        <v>0.94996941900188414</v>
      </c>
      <c r="P41" s="75">
        <f t="shared" si="84"/>
        <v>0.94996941900188414</v>
      </c>
      <c r="Q41" s="75">
        <f t="shared" si="84"/>
        <v>0.94996941900188414</v>
      </c>
      <c r="R41" s="75">
        <f t="shared" si="84"/>
        <v>0.94996941900188414</v>
      </c>
      <c r="S41" s="75">
        <f t="shared" si="84"/>
        <v>0.94996941900188125</v>
      </c>
      <c r="T41" s="75">
        <f t="shared" si="84"/>
        <v>0.94996941900188125</v>
      </c>
      <c r="U41" s="75">
        <f t="shared" si="84"/>
        <v>0.94996941900188125</v>
      </c>
      <c r="V41" s="75">
        <f t="shared" si="84"/>
        <v>0.94996941900188125</v>
      </c>
    </row>
  </sheetData>
  <mergeCells count="25">
    <mergeCell ref="C31:F31"/>
    <mergeCell ref="G31:J31"/>
    <mergeCell ref="K31:N31"/>
    <mergeCell ref="O31:R31"/>
    <mergeCell ref="S31:V31"/>
    <mergeCell ref="AB3:AD3"/>
    <mergeCell ref="AE3:AG3"/>
    <mergeCell ref="AH3:AJ3"/>
    <mergeCell ref="AK3:AM3"/>
    <mergeCell ref="Y17:AA17"/>
    <mergeCell ref="AB17:AD17"/>
    <mergeCell ref="AE17:AG17"/>
    <mergeCell ref="AH17:AJ17"/>
    <mergeCell ref="AK17:AM17"/>
    <mergeCell ref="C3:F3"/>
    <mergeCell ref="C17:F17"/>
    <mergeCell ref="G3:J3"/>
    <mergeCell ref="G17:J17"/>
    <mergeCell ref="Y3:AA3"/>
    <mergeCell ref="K3:N3"/>
    <mergeCell ref="O3:R3"/>
    <mergeCell ref="S3:V3"/>
    <mergeCell ref="K17:N17"/>
    <mergeCell ref="O17:R17"/>
    <mergeCell ref="S17:V17"/>
  </mergeCells>
  <phoneticPr fontId="13" type="noConversion"/>
  <pageMargins left="0.7" right="0.7" top="0.75" bottom="0.75" header="0.3" footer="0.3"/>
  <pageSetup scale="92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692F1-AA84-46AE-836F-24313C01EBD6}">
  <dimension ref="B2:AM41"/>
  <sheetViews>
    <sheetView showGridLines="0" tabSelected="1" workbookViewId="0">
      <selection activeCell="AN36" sqref="AN36"/>
    </sheetView>
  </sheetViews>
  <sheetFormatPr defaultRowHeight="14.4" x14ac:dyDescent="0.3"/>
  <cols>
    <col min="1" max="1" width="2.33203125" customWidth="1"/>
    <col min="2" max="2" width="8.6640625" bestFit="1" customWidth="1"/>
    <col min="3" max="14" width="7.77734375" bestFit="1" customWidth="1"/>
    <col min="16" max="16" width="0" hidden="1" customWidth="1"/>
    <col min="17" max="19" width="6.6640625" hidden="1" customWidth="1"/>
    <col min="20" max="20" width="5.5546875" hidden="1" customWidth="1"/>
    <col min="21" max="31" width="6.6640625" hidden="1" customWidth="1"/>
    <col min="32" max="37" width="0" hidden="1" customWidth="1"/>
  </cols>
  <sheetData>
    <row r="2" spans="2:38" ht="15" thickBot="1" x14ac:dyDescent="0.35">
      <c r="B2" s="2" t="s">
        <v>124</v>
      </c>
      <c r="P2" s="2" t="s">
        <v>61</v>
      </c>
    </row>
    <row r="3" spans="2:38" x14ac:dyDescent="0.3">
      <c r="B3" s="88"/>
      <c r="C3" s="89" t="s">
        <v>59</v>
      </c>
      <c r="D3" s="90"/>
      <c r="E3" s="90"/>
      <c r="F3" s="91"/>
      <c r="G3" s="89" t="s">
        <v>60</v>
      </c>
      <c r="H3" s="90"/>
      <c r="I3" s="90"/>
      <c r="J3" s="91"/>
      <c r="K3" s="92" t="s">
        <v>49</v>
      </c>
      <c r="L3" s="93"/>
      <c r="M3" s="94"/>
      <c r="N3" s="95"/>
      <c r="O3" s="112"/>
      <c r="P3" s="88"/>
      <c r="Q3" s="90" t="s">
        <v>117</v>
      </c>
      <c r="R3" s="90"/>
      <c r="S3" s="91"/>
      <c r="T3" s="90" t="s">
        <v>118</v>
      </c>
      <c r="U3" s="90"/>
      <c r="V3" s="91"/>
      <c r="W3" s="93" t="s">
        <v>119</v>
      </c>
      <c r="X3" s="94"/>
      <c r="Y3" s="95"/>
      <c r="Z3" s="93" t="s">
        <v>120</v>
      </c>
      <c r="AA3" s="94"/>
      <c r="AB3" s="95"/>
      <c r="AC3" s="93" t="s">
        <v>121</v>
      </c>
      <c r="AD3" s="94"/>
      <c r="AE3" s="95"/>
      <c r="AF3" s="112"/>
      <c r="AG3" s="112"/>
      <c r="AH3" s="112"/>
      <c r="AI3" s="112"/>
      <c r="AJ3" s="112"/>
      <c r="AK3" s="112"/>
      <c r="AL3" s="112"/>
    </row>
    <row r="4" spans="2:38" x14ac:dyDescent="0.3">
      <c r="B4" s="96" t="s">
        <v>1</v>
      </c>
      <c r="C4" s="97">
        <v>2019</v>
      </c>
      <c r="D4" s="98">
        <v>2030</v>
      </c>
      <c r="E4" s="98">
        <v>2035</v>
      </c>
      <c r="F4" s="99">
        <v>2040</v>
      </c>
      <c r="G4" s="97">
        <v>2019</v>
      </c>
      <c r="H4" s="98">
        <v>2030</v>
      </c>
      <c r="I4" s="98">
        <v>2035</v>
      </c>
      <c r="J4" s="99">
        <v>2040</v>
      </c>
      <c r="K4" s="97">
        <v>2020</v>
      </c>
      <c r="L4" s="98">
        <v>2030</v>
      </c>
      <c r="M4" s="98">
        <v>2035</v>
      </c>
      <c r="N4" s="99">
        <v>2040</v>
      </c>
      <c r="O4" s="112"/>
      <c r="P4" s="96" t="s">
        <v>1</v>
      </c>
      <c r="Q4" s="98">
        <v>2030</v>
      </c>
      <c r="R4" s="98">
        <v>2035</v>
      </c>
      <c r="S4" s="99">
        <v>2040</v>
      </c>
      <c r="T4" s="98">
        <v>2030</v>
      </c>
      <c r="U4" s="98">
        <v>2035</v>
      </c>
      <c r="V4" s="99">
        <v>2040</v>
      </c>
      <c r="W4" s="98">
        <v>2030</v>
      </c>
      <c r="X4" s="98">
        <v>2035</v>
      </c>
      <c r="Y4" s="99">
        <v>2040</v>
      </c>
      <c r="Z4" s="98">
        <v>2030</v>
      </c>
      <c r="AA4" s="98">
        <v>2035</v>
      </c>
      <c r="AB4" s="99">
        <v>2040</v>
      </c>
      <c r="AC4" s="98">
        <v>2030</v>
      </c>
      <c r="AD4" s="98">
        <v>2035</v>
      </c>
      <c r="AE4" s="99">
        <v>2040</v>
      </c>
      <c r="AF4" s="112"/>
      <c r="AG4" s="112"/>
      <c r="AH4" s="112"/>
      <c r="AI4" s="112"/>
      <c r="AJ4" s="112"/>
      <c r="AK4" s="112"/>
      <c r="AL4" s="112"/>
    </row>
    <row r="5" spans="2:38" x14ac:dyDescent="0.3">
      <c r="B5" s="100" t="s">
        <v>2</v>
      </c>
      <c r="C5" s="101">
        <f>NYISO!B8</f>
        <v>5400.1000976562555</v>
      </c>
      <c r="D5" s="102">
        <f>NYISO!D8</f>
        <v>3363.5</v>
      </c>
      <c r="E5" s="102">
        <f>NYISO!E8</f>
        <v>3364.2</v>
      </c>
      <c r="F5" s="103">
        <f>NYISO!F8</f>
        <v>3364.2</v>
      </c>
      <c r="G5" s="101">
        <f>NYISO!I8</f>
        <v>5400.1000976562555</v>
      </c>
      <c r="H5" s="102">
        <f>NYISO!K8</f>
        <v>3346.1</v>
      </c>
      <c r="I5" s="102">
        <f>NYISO!L8</f>
        <v>3364.2</v>
      </c>
      <c r="J5" s="103">
        <f>NYISO!M8</f>
        <v>3364.2</v>
      </c>
      <c r="K5" s="101">
        <f>'Integration Analysis'!D4</f>
        <v>4860.2</v>
      </c>
      <c r="L5" s="102">
        <f>'Integration Analysis'!F4</f>
        <v>3355.2</v>
      </c>
      <c r="M5" s="102">
        <f>'Integration Analysis'!G4</f>
        <v>3355.2</v>
      </c>
      <c r="N5" s="103">
        <f>'Integration Analysis'!H4</f>
        <v>3355.2</v>
      </c>
      <c r="O5" s="112"/>
      <c r="P5" s="100" t="s">
        <v>2</v>
      </c>
      <c r="Q5" s="113">
        <f>(D5-C5)/C5</f>
        <v>-0.37714117531639424</v>
      </c>
      <c r="R5" s="113">
        <f>(E5-C5)/C5</f>
        <v>-0.37701154808961307</v>
      </c>
      <c r="S5" s="113">
        <f>(F5-C5)/C5</f>
        <v>-0.37701154808961307</v>
      </c>
      <c r="T5" s="113">
        <f>(H5-G5)/G5</f>
        <v>-0.3803633378106695</v>
      </c>
      <c r="U5" s="113">
        <f>(I5-G5)/G5</f>
        <v>-0.37701154808961307</v>
      </c>
      <c r="V5" s="113">
        <f>(J5-G5)/G5</f>
        <v>-0.37701154808961307</v>
      </c>
      <c r="W5" s="113">
        <f>(L5-K5)/K5</f>
        <v>-0.30965803876383691</v>
      </c>
      <c r="X5" s="113">
        <f>(M5-K5)/K5</f>
        <v>-0.30965803876383691</v>
      </c>
      <c r="Y5" s="113">
        <f>(N5-K5)/K5</f>
        <v>-0.30965803876383691</v>
      </c>
      <c r="Z5" s="113" t="e">
        <f>(#REF!-#REF!)/#REF!</f>
        <v>#REF!</v>
      </c>
      <c r="AA5" s="113" t="e">
        <f>(#REF!-#REF!)/#REF!</f>
        <v>#REF!</v>
      </c>
      <c r="AB5" s="113" t="e">
        <f>(#REF!-#REF!)/#REF!</f>
        <v>#REF!</v>
      </c>
      <c r="AC5" s="113" t="e">
        <f>(#REF!-#REF!)/#REF!</f>
        <v>#REF!</v>
      </c>
      <c r="AD5" s="113" t="e">
        <f>(#REF!-#REF!)/#REF!</f>
        <v>#REF!</v>
      </c>
      <c r="AE5" s="113" t="e">
        <f>(#REF!-#REF!)/#REF!</f>
        <v>#REF!</v>
      </c>
      <c r="AF5" s="112"/>
      <c r="AG5" s="112"/>
      <c r="AH5" s="112"/>
      <c r="AI5" s="112"/>
      <c r="AJ5" s="112"/>
      <c r="AK5" s="112"/>
      <c r="AL5" s="112"/>
    </row>
    <row r="6" spans="2:38" x14ac:dyDescent="0.3">
      <c r="B6" s="104" t="s">
        <v>3</v>
      </c>
      <c r="C6" s="101">
        <f>NYISO!B9</f>
        <v>26262</v>
      </c>
      <c r="D6" s="102">
        <f>NYISO!D9</f>
        <v>21231.699999999997</v>
      </c>
      <c r="E6" s="102">
        <f>NYISO!E9</f>
        <v>21233.699999999997</v>
      </c>
      <c r="F6" s="103">
        <f>NYISO!F9</f>
        <v>0</v>
      </c>
      <c r="G6" s="101">
        <f>NYISO!I9</f>
        <v>26262</v>
      </c>
      <c r="H6" s="102">
        <f>NYISO!K9</f>
        <v>17650</v>
      </c>
      <c r="I6" s="102">
        <f>NYISO!L9</f>
        <v>16070.539999999997</v>
      </c>
      <c r="J6" s="103">
        <f>NYISO!M9</f>
        <v>0</v>
      </c>
      <c r="K6" s="101">
        <f>'Integration Analysis'!D5</f>
        <v>26388.100000000002</v>
      </c>
      <c r="L6" s="102">
        <f>'Integration Analysis'!F5</f>
        <v>21578.919999999995</v>
      </c>
      <c r="M6" s="102">
        <f>'Integration Analysis'!G5</f>
        <v>18078.2</v>
      </c>
      <c r="N6" s="103">
        <f>'Integration Analysis'!H5</f>
        <v>0</v>
      </c>
      <c r="O6" s="112"/>
      <c r="P6" s="104" t="s">
        <v>3</v>
      </c>
      <c r="Q6" s="113">
        <f>(D6-C6)/C6</f>
        <v>-0.19154291371563487</v>
      </c>
      <c r="R6" s="113">
        <f>(E6-C6)/C6</f>
        <v>-0.19146675805346139</v>
      </c>
      <c r="S6" s="113">
        <f>(F6-C6)/C6</f>
        <v>-1</v>
      </c>
      <c r="T6" s="113">
        <f>(H6-G6)/G6</f>
        <v>-0.32792628131901608</v>
      </c>
      <c r="U6" s="113">
        <f>(I6-G6)/G6</f>
        <v>-0.38806869240728059</v>
      </c>
      <c r="V6" s="113">
        <f>(J6-G6)/G6</f>
        <v>-1</v>
      </c>
      <c r="W6" s="113">
        <f>(L6-K6)/K6</f>
        <v>-0.18224805878407341</v>
      </c>
      <c r="X6" s="113">
        <f>(M6-K6)/K6</f>
        <v>-0.3149108878623319</v>
      </c>
      <c r="Y6" s="113">
        <f>(N6-K6)/K6</f>
        <v>-1</v>
      </c>
      <c r="Z6" s="113" t="e">
        <f>(#REF!-#REF!)/#REF!</f>
        <v>#REF!</v>
      </c>
      <c r="AA6" s="113" t="e">
        <f>(#REF!-#REF!)/#REF!</f>
        <v>#REF!</v>
      </c>
      <c r="AB6" s="113" t="e">
        <f>(#REF!-#REF!)/#REF!</f>
        <v>#REF!</v>
      </c>
      <c r="AC6" s="113" t="e">
        <f>(#REF!-#REF!)/#REF!</f>
        <v>#REF!</v>
      </c>
      <c r="AD6" s="113" t="e">
        <f>(#REF!-#REF!)/#REF!</f>
        <v>#REF!</v>
      </c>
      <c r="AE6" s="113" t="e">
        <f>(#REF!-#REF!)/#REF!</f>
        <v>#REF!</v>
      </c>
      <c r="AF6" s="112"/>
      <c r="AG6" s="114">
        <f>(I6-H6)/H6</f>
        <v>-8.9487818696884006E-2</v>
      </c>
      <c r="AH6" s="112"/>
      <c r="AI6" s="112"/>
      <c r="AJ6" s="112"/>
      <c r="AK6" s="112"/>
      <c r="AL6" s="112"/>
    </row>
    <row r="7" spans="2:38" x14ac:dyDescent="0.3">
      <c r="B7" s="61" t="s">
        <v>7</v>
      </c>
      <c r="C7" s="101">
        <f>NYISO!B13</f>
        <v>6330.7198569271704</v>
      </c>
      <c r="D7" s="102">
        <f>NYISO!D13</f>
        <v>7537.06</v>
      </c>
      <c r="E7" s="102">
        <f>NYISO!E13</f>
        <v>7539.6600000000008</v>
      </c>
      <c r="F7" s="103">
        <f>NYISO!F13</f>
        <v>7540.06</v>
      </c>
      <c r="G7" s="101">
        <f>NYISO!I13</f>
        <v>6330.7198569271704</v>
      </c>
      <c r="H7" s="102">
        <f>NYISO!K13</f>
        <v>7660.27</v>
      </c>
      <c r="I7" s="102">
        <f>NYISO!L13</f>
        <v>7583.76</v>
      </c>
      <c r="J7" s="103">
        <f>NYISO!M13</f>
        <v>7584.1600000000008</v>
      </c>
      <c r="K7" s="101">
        <f>'Integration Analysis'!D8+'Integration Analysis'!D9+'Integration Analysis'!D10</f>
        <v>5753.8600000000006</v>
      </c>
      <c r="L7" s="102">
        <f>'Integration Analysis'!F8+'Integration Analysis'!F9+'Integration Analysis'!F10</f>
        <v>7344.8600000000006</v>
      </c>
      <c r="M7" s="102">
        <f>'Integration Analysis'!G8+'Integration Analysis'!G9+'Integration Analysis'!G10</f>
        <v>7344.8600000000006</v>
      </c>
      <c r="N7" s="103">
        <f>'Integration Analysis'!H8+'Integration Analysis'!H9+'Integration Analysis'!H10</f>
        <v>7348.1900000000005</v>
      </c>
      <c r="O7" s="112"/>
      <c r="P7" s="61" t="s">
        <v>7</v>
      </c>
      <c r="Q7" s="113">
        <f>(D7-C7)/C7</f>
        <v>0.19055339208428787</v>
      </c>
      <c r="R7" s="113">
        <f>(E7-C7)/C7</f>
        <v>0.19096408787540797</v>
      </c>
      <c r="S7" s="113">
        <f>(F7-C7)/C7</f>
        <v>0.19102727184327253</v>
      </c>
      <c r="T7" s="113">
        <f>(H7-G7)/G7</f>
        <v>0.21001563378578755</v>
      </c>
      <c r="U7" s="113">
        <f>(I7-G7)/G7</f>
        <v>0.19793012033248228</v>
      </c>
      <c r="V7" s="113">
        <f>(J7-G7)/G7</f>
        <v>0.19799330430034698</v>
      </c>
      <c r="W7" s="113">
        <f>(L7-K7)/K7</f>
        <v>0.27651002978869832</v>
      </c>
      <c r="X7" s="113">
        <f>(M7-K7)/K7</f>
        <v>0.27651002978869832</v>
      </c>
      <c r="Y7" s="113">
        <f>(N7-K7)/K7</f>
        <v>0.27708877171151186</v>
      </c>
      <c r="Z7" s="113" t="e">
        <f>(#REF!-#REF!)/#REF!</f>
        <v>#REF!</v>
      </c>
      <c r="AA7" s="113" t="e">
        <f>(#REF!-#REF!)/#REF!</f>
        <v>#REF!</v>
      </c>
      <c r="AB7" s="113" t="e">
        <f>(#REF!-#REF!)/#REF!</f>
        <v>#REF!</v>
      </c>
      <c r="AC7" s="113" t="e">
        <f>(#REF!-#REF!)/#REF!</f>
        <v>#REF!</v>
      </c>
      <c r="AD7" s="113" t="e">
        <f>(#REF!-#REF!)/#REF!</f>
        <v>#REF!</v>
      </c>
      <c r="AE7" s="113" t="e">
        <f>(#REF!-#REF!)/#REF!</f>
        <v>#REF!</v>
      </c>
      <c r="AF7" s="112"/>
      <c r="AG7" s="112"/>
      <c r="AH7" s="112"/>
      <c r="AI7" s="112"/>
      <c r="AJ7" s="112"/>
      <c r="AK7" s="112"/>
      <c r="AL7" s="112"/>
    </row>
    <row r="8" spans="2:38" x14ac:dyDescent="0.3">
      <c r="B8" s="104" t="s">
        <v>8</v>
      </c>
      <c r="C8" s="101">
        <f>NYISO!B14</f>
        <v>1985.3000025749204</v>
      </c>
      <c r="D8" s="102">
        <f>NYISO!D14</f>
        <v>9086.2000000000007</v>
      </c>
      <c r="E8" s="102">
        <f>NYISO!E14</f>
        <v>12611.900000000001</v>
      </c>
      <c r="F8" s="103">
        <f>NYISO!F14</f>
        <v>19087.2</v>
      </c>
      <c r="G8" s="101">
        <f>NYISO!I14</f>
        <v>1985.3000025749204</v>
      </c>
      <c r="H8" s="102">
        <f>NYISO!K14</f>
        <v>5889.83</v>
      </c>
      <c r="I8" s="102">
        <f>NYISO!L14</f>
        <v>12366.400000000001</v>
      </c>
      <c r="J8" s="103">
        <f>NYISO!M14</f>
        <v>19087.2</v>
      </c>
      <c r="K8" s="101">
        <f>'Integration Analysis'!D11+'Integration Analysis'!D12</f>
        <v>1916.9</v>
      </c>
      <c r="L8" s="102">
        <f>'Integration Analysis'!F11+'Integration Analysis'!F12</f>
        <v>5573.93</v>
      </c>
      <c r="M8" s="102">
        <f>'Integration Analysis'!G11+'Integration Analysis'!G12</f>
        <v>10059.83</v>
      </c>
      <c r="N8" s="103">
        <f>'Integration Analysis'!H11+'Integration Analysis'!H12</f>
        <v>12242.199999999997</v>
      </c>
      <c r="O8" s="112"/>
      <c r="P8" s="104" t="s">
        <v>8</v>
      </c>
      <c r="Q8" s="115">
        <f>(D8-C8)/C8</f>
        <v>3.5767390259483514</v>
      </c>
      <c r="R8" s="115">
        <f>(E8-C8)/C8</f>
        <v>5.3526419098586882</v>
      </c>
      <c r="S8" s="115">
        <f>(F8-C8)/C8</f>
        <v>8.6142648341530421</v>
      </c>
      <c r="T8" s="115">
        <f>(H8-G8)/G8</f>
        <v>1.9667203910547175</v>
      </c>
      <c r="U8" s="115">
        <f>(I8-G8)/G8</f>
        <v>5.2289830171565335</v>
      </c>
      <c r="V8" s="115">
        <f>(J8-G8)/G8</f>
        <v>8.6142648341530421</v>
      </c>
      <c r="W8" s="115">
        <f>(L8-K8)/K8</f>
        <v>1.9077834002817049</v>
      </c>
      <c r="X8" s="115">
        <f>(M8-K8)/K8</f>
        <v>4.2479680734519274</v>
      </c>
      <c r="Y8" s="115">
        <f>(N8-K8)/K8</f>
        <v>5.3864573008503296</v>
      </c>
      <c r="Z8" s="115" t="e">
        <f>(#REF!-#REF!)/#REF!</f>
        <v>#REF!</v>
      </c>
      <c r="AA8" s="115" t="e">
        <f>(#REF!-#REF!)/#REF!</f>
        <v>#REF!</v>
      </c>
      <c r="AB8" s="115" t="e">
        <f>(#REF!-#REF!)/#REF!</f>
        <v>#REF!</v>
      </c>
      <c r="AC8" s="115" t="e">
        <f>(#REF!-#REF!)/#REF!</f>
        <v>#REF!</v>
      </c>
      <c r="AD8" s="115" t="e">
        <f>(#REF!-#REF!)/#REF!</f>
        <v>#REF!</v>
      </c>
      <c r="AE8" s="115" t="e">
        <f>(#REF!-#REF!)/#REF!</f>
        <v>#REF!</v>
      </c>
      <c r="AF8" s="112"/>
      <c r="AG8" s="116">
        <f>AVERAGE(F8,J8)</f>
        <v>19087.2</v>
      </c>
      <c r="AH8" s="116" t="e">
        <f>AVERAGE(N8,#REF!,#REF!)</f>
        <v>#REF!</v>
      </c>
      <c r="AI8" s="116" t="e">
        <f>AG8-AH8</f>
        <v>#REF!</v>
      </c>
      <c r="AJ8" s="114" t="e">
        <f>AI8/AH8</f>
        <v>#REF!</v>
      </c>
      <c r="AK8" s="112"/>
      <c r="AL8" s="112"/>
    </row>
    <row r="9" spans="2:38" x14ac:dyDescent="0.3">
      <c r="B9" s="104" t="s">
        <v>9</v>
      </c>
      <c r="C9" s="101">
        <f>NYISO!B15</f>
        <v>0</v>
      </c>
      <c r="D9" s="102">
        <f>NYISO!D15</f>
        <v>5036</v>
      </c>
      <c r="E9" s="102">
        <f>NYISO!E15</f>
        <v>9000</v>
      </c>
      <c r="F9" s="103">
        <f>NYISO!F15</f>
        <v>9000</v>
      </c>
      <c r="G9" s="101">
        <f>NYISO!I15</f>
        <v>0</v>
      </c>
      <c r="H9" s="102">
        <f>NYISO!K15</f>
        <v>7436</v>
      </c>
      <c r="I9" s="102">
        <f>NYISO!L15</f>
        <v>9000</v>
      </c>
      <c r="J9" s="103">
        <f>NYISO!M15</f>
        <v>9720</v>
      </c>
      <c r="K9" s="101">
        <f>'Integration Analysis'!D13</f>
        <v>0</v>
      </c>
      <c r="L9" s="102">
        <f>'Integration Analysis'!F13</f>
        <v>6200</v>
      </c>
      <c r="M9" s="102">
        <f>'Integration Analysis'!G13</f>
        <v>9906.4</v>
      </c>
      <c r="N9" s="103">
        <f>'Integration Analysis'!H13</f>
        <v>14363.650000000001</v>
      </c>
      <c r="O9" s="112"/>
      <c r="P9" s="104" t="s">
        <v>9</v>
      </c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2"/>
      <c r="AG9" s="116">
        <f>AVERAGE(F9,J9)</f>
        <v>9360</v>
      </c>
      <c r="AH9" s="116" t="e">
        <f>AVERAGE(N9,#REF!,#REF!)</f>
        <v>#REF!</v>
      </c>
      <c r="AI9" s="116" t="e">
        <f>AG9-AH9</f>
        <v>#REF!</v>
      </c>
      <c r="AJ9" s="114" t="e">
        <f>AI9/AH9</f>
        <v>#REF!</v>
      </c>
      <c r="AK9" s="112"/>
      <c r="AL9" s="112"/>
    </row>
    <row r="10" spans="2:38" x14ac:dyDescent="0.3">
      <c r="B10" s="104" t="s">
        <v>38</v>
      </c>
      <c r="C10" s="101">
        <f>NYISO!B16+NYISO!B17</f>
        <v>2147.5</v>
      </c>
      <c r="D10" s="102">
        <f>NYISO!D16+NYISO!D17</f>
        <v>14731.099999999999</v>
      </c>
      <c r="E10" s="102">
        <f>NYISO!E16+NYISO!E17</f>
        <v>15504.099999999999</v>
      </c>
      <c r="F10" s="103">
        <f>NYISO!F16+NYISO!F17</f>
        <v>15874.099999999999</v>
      </c>
      <c r="G10" s="101">
        <f>NYISO!I16+NYISO!I17</f>
        <v>2147.5</v>
      </c>
      <c r="H10" s="102">
        <f>NYISO!K16+NYISO!K17</f>
        <v>14199.099999999999</v>
      </c>
      <c r="I10" s="102">
        <f>NYISO!L16+NYISO!L17</f>
        <v>25049.09</v>
      </c>
      <c r="J10" s="103">
        <f>NYISO!M16+NYISO!M17</f>
        <v>44369.72</v>
      </c>
      <c r="K10" s="101">
        <f>'Integration Analysis'!D14</f>
        <v>2591.84</v>
      </c>
      <c r="L10" s="102">
        <f>'Integration Analysis'!F14</f>
        <v>18851.97</v>
      </c>
      <c r="M10" s="102">
        <f>'Integration Analysis'!G14</f>
        <v>28993.940000000002</v>
      </c>
      <c r="N10" s="103">
        <f>'Integration Analysis'!H14</f>
        <v>43431.95</v>
      </c>
      <c r="O10" s="112"/>
      <c r="P10" s="104" t="s">
        <v>38</v>
      </c>
      <c r="Q10" s="115">
        <f>(D10-C10)/C10</f>
        <v>5.8596507566938296</v>
      </c>
      <c r="R10" s="115">
        <f>(E10-C10)/C10</f>
        <v>6.2196041909196733</v>
      </c>
      <c r="S10" s="115">
        <f>(F10-C10)/C10</f>
        <v>6.3918975552968558</v>
      </c>
      <c r="T10" s="115">
        <f>(H10-G10)/G10</f>
        <v>5.6119208381839343</v>
      </c>
      <c r="U10" s="115">
        <f>(I10-G10)/G10</f>
        <v>10.664302677532014</v>
      </c>
      <c r="V10" s="115">
        <f>(J10-G10)/G10</f>
        <v>19.661103608847498</v>
      </c>
      <c r="W10" s="115">
        <f>(L10-K10)/K10</f>
        <v>6.2735855608370885</v>
      </c>
      <c r="X10" s="115">
        <f>(M10-K10)/K10</f>
        <v>10.186624174331749</v>
      </c>
      <c r="Y10" s="115">
        <f>(N10-K10)/K10</f>
        <v>15.757187943700227</v>
      </c>
      <c r="Z10" s="115" t="e">
        <f>(#REF!-#REF!)/#REF!</f>
        <v>#REF!</v>
      </c>
      <c r="AA10" s="115" t="e">
        <f>(#REF!-#REF!)/#REF!</f>
        <v>#REF!</v>
      </c>
      <c r="AB10" s="115" t="e">
        <f>(#REF!-#REF!)/#REF!</f>
        <v>#REF!</v>
      </c>
      <c r="AC10" s="115" t="e">
        <f>(#REF!-#REF!)/#REF!</f>
        <v>#REF!</v>
      </c>
      <c r="AD10" s="115" t="e">
        <f>(#REF!-#REF!)/#REF!</f>
        <v>#REF!</v>
      </c>
      <c r="AE10" s="115" t="e">
        <f>(#REF!-#REF!)/#REF!</f>
        <v>#REF!</v>
      </c>
      <c r="AF10" s="112"/>
      <c r="AG10" s="116">
        <f>F10</f>
        <v>15874.099999999999</v>
      </c>
      <c r="AH10" s="116" t="e">
        <f>AVERAGE(N10,#REF!,#REF!,J10)</f>
        <v>#REF!</v>
      </c>
      <c r="AI10" s="116" t="e">
        <f>AG10-AH10</f>
        <v>#REF!</v>
      </c>
      <c r="AJ10" s="114" t="e">
        <f>AI10/AH10</f>
        <v>#REF!</v>
      </c>
      <c r="AK10" s="112"/>
      <c r="AL10" s="112"/>
    </row>
    <row r="11" spans="2:38" x14ac:dyDescent="0.3">
      <c r="B11" s="104" t="s">
        <v>12</v>
      </c>
      <c r="C11" s="101">
        <f>NYISO!B18</f>
        <v>1405.09997558594</v>
      </c>
      <c r="D11" s="102">
        <f>NYISO!D18</f>
        <v>4409.8999999999996</v>
      </c>
      <c r="E11" s="102">
        <f>NYISO!E18</f>
        <v>5792.57</v>
      </c>
      <c r="F11" s="103">
        <f>NYISO!F18</f>
        <v>11450.029999999999</v>
      </c>
      <c r="G11" s="101">
        <f>NYISO!I18</f>
        <v>1405.09997558594</v>
      </c>
      <c r="H11" s="102">
        <f>NYISO!K18</f>
        <v>4409.8999999999996</v>
      </c>
      <c r="I11" s="102">
        <f>NYISO!L18</f>
        <v>6147.4699999999993</v>
      </c>
      <c r="J11" s="103">
        <f>NYISO!M18</f>
        <v>12809.9</v>
      </c>
      <c r="K11" s="101">
        <f>'Integration Analysis'!D15+'Integration Analysis'!D16</f>
        <v>2185.3999999999996</v>
      </c>
      <c r="L11" s="102">
        <f>'Integration Analysis'!F15+'Integration Analysis'!F16</f>
        <v>4435.4599999999991</v>
      </c>
      <c r="M11" s="102">
        <f>'Integration Analysis'!G15+'Integration Analysis'!G16</f>
        <v>7226.4199999999992</v>
      </c>
      <c r="N11" s="103">
        <f>'Integration Analysis'!H15+'Integration Analysis'!H16</f>
        <v>12148.569999999998</v>
      </c>
      <c r="O11" s="112"/>
      <c r="P11" s="104" t="s">
        <v>12</v>
      </c>
      <c r="Q11" s="115">
        <f>(D11-C11)/C11</f>
        <v>2.1384955352810602</v>
      </c>
      <c r="R11" s="115">
        <f>(E11-C11)/C11</f>
        <v>3.1225322757438971</v>
      </c>
      <c r="S11" s="115">
        <f>(F11-C11)/C11</f>
        <v>7.1489076926538475</v>
      </c>
      <c r="T11" s="115">
        <f>(H11-G11)/G11</f>
        <v>2.1384955352810602</v>
      </c>
      <c r="U11" s="115">
        <f>(I11-G11)/G11</f>
        <v>3.3751121676850402</v>
      </c>
      <c r="V11" s="115">
        <f>(J11-G11)/G11</f>
        <v>8.1167178297459941</v>
      </c>
      <c r="W11" s="115">
        <f>(L11-K11)/K11</f>
        <v>1.0295872609133339</v>
      </c>
      <c r="X11" s="115">
        <f>(M11-K11)/K11</f>
        <v>2.3066806991855038</v>
      </c>
      <c r="Y11" s="115">
        <f>(N11-K11)/K11</f>
        <v>4.5589686098654711</v>
      </c>
      <c r="Z11" s="115" t="e">
        <f>(#REF!-#REF!)/#REF!</f>
        <v>#REF!</v>
      </c>
      <c r="AA11" s="115" t="e">
        <f>(#REF!-#REF!)/#REF!</f>
        <v>#REF!</v>
      </c>
      <c r="AB11" s="115" t="e">
        <f>(#REF!-#REF!)/#REF!</f>
        <v>#REF!</v>
      </c>
      <c r="AC11" s="115" t="e">
        <f>(#REF!-#REF!)/#REF!</f>
        <v>#REF!</v>
      </c>
      <c r="AD11" s="115" t="e">
        <f>(#REF!-#REF!)/#REF!</f>
        <v>#REF!</v>
      </c>
      <c r="AE11" s="115" t="e">
        <f>(#REF!-#REF!)/#REF!</f>
        <v>#REF!</v>
      </c>
      <c r="AF11" s="112"/>
      <c r="AG11" s="112"/>
      <c r="AH11" s="112"/>
      <c r="AI11" s="112"/>
      <c r="AJ11" s="112"/>
      <c r="AK11" s="112"/>
      <c r="AL11" s="112"/>
    </row>
    <row r="12" spans="2:38" x14ac:dyDescent="0.3">
      <c r="B12" s="104" t="s">
        <v>48</v>
      </c>
      <c r="C12" s="101">
        <f>SUM(NYISO!B10:B12)</f>
        <v>0</v>
      </c>
      <c r="D12" s="102">
        <f>SUM(NYISO!D10:D12)</f>
        <v>419.64</v>
      </c>
      <c r="E12" s="102">
        <f>SUM(NYISO!E10:E12)</f>
        <v>7052.56</v>
      </c>
      <c r="F12" s="103">
        <f>SUM(NYISO!F10:F12)</f>
        <v>44750.23</v>
      </c>
      <c r="G12" s="101">
        <f>SUM(NYISO!I10:I12)</f>
        <v>0</v>
      </c>
      <c r="H12" s="102">
        <f>SUM(NYISO!K10:K12)</f>
        <v>819.31</v>
      </c>
      <c r="I12" s="102">
        <f>SUM(NYISO!L10:L12)</f>
        <v>3990.04</v>
      </c>
      <c r="J12" s="103">
        <f>SUM(NYISO!M10:M12)</f>
        <v>27200</v>
      </c>
      <c r="K12" s="101">
        <f>'Integration Analysis'!D6</f>
        <v>0</v>
      </c>
      <c r="L12" s="102">
        <f>'Integration Analysis'!F6</f>
        <v>0</v>
      </c>
      <c r="M12" s="102">
        <f>'Integration Analysis'!G6</f>
        <v>0</v>
      </c>
      <c r="N12" s="103">
        <f>'Integration Analysis'!H6</f>
        <v>21015.35</v>
      </c>
      <c r="O12" s="112"/>
      <c r="P12" s="104" t="s">
        <v>48</v>
      </c>
      <c r="Q12" s="113"/>
      <c r="R12" s="113"/>
      <c r="S12" s="113"/>
      <c r="T12" s="113"/>
      <c r="U12" s="113"/>
      <c r="V12" s="113"/>
      <c r="W12" s="113"/>
      <c r="X12" s="113"/>
      <c r="Y12" s="113"/>
      <c r="Z12" s="113"/>
      <c r="AA12" s="113"/>
      <c r="AB12" s="113"/>
      <c r="AC12" s="113"/>
      <c r="AD12" s="113"/>
      <c r="AE12" s="113"/>
      <c r="AF12" s="112"/>
      <c r="AG12" s="116">
        <f>F12</f>
        <v>44750.23</v>
      </c>
      <c r="AH12" s="116" t="e">
        <f>AVERAGE(N12,#REF!,#REF!,J12)</f>
        <v>#REF!</v>
      </c>
      <c r="AI12" s="116" t="e">
        <f>AG12-AH12</f>
        <v>#REF!</v>
      </c>
      <c r="AJ12" s="114" t="e">
        <f>AI12/AH12</f>
        <v>#REF!</v>
      </c>
      <c r="AK12" s="112"/>
      <c r="AL12" s="112"/>
    </row>
    <row r="13" spans="2:38" x14ac:dyDescent="0.3">
      <c r="B13" s="104" t="s">
        <v>50</v>
      </c>
      <c r="C13" s="101"/>
      <c r="D13" s="102"/>
      <c r="E13" s="102"/>
      <c r="F13" s="103"/>
      <c r="G13" s="101"/>
      <c r="H13" s="102"/>
      <c r="I13" s="102"/>
      <c r="J13" s="103"/>
      <c r="K13" s="101">
        <f>'Integration Analysis'!D7</f>
        <v>327</v>
      </c>
      <c r="L13" s="102">
        <f>'Integration Analysis'!F7</f>
        <v>327</v>
      </c>
      <c r="M13" s="102">
        <f>'Integration Analysis'!G7</f>
        <v>327</v>
      </c>
      <c r="N13" s="103">
        <f>'Integration Analysis'!H7</f>
        <v>327</v>
      </c>
      <c r="O13" s="112"/>
      <c r="P13" s="104" t="s">
        <v>50</v>
      </c>
      <c r="Q13" s="102"/>
      <c r="R13" s="102"/>
      <c r="S13" s="103"/>
      <c r="T13" s="102"/>
      <c r="U13" s="102"/>
      <c r="V13" s="103"/>
      <c r="W13" s="102"/>
      <c r="X13" s="102"/>
      <c r="Y13" s="103"/>
      <c r="Z13" s="102"/>
      <c r="AA13" s="102"/>
      <c r="AB13" s="103"/>
      <c r="AC13" s="102"/>
      <c r="AD13" s="102"/>
      <c r="AE13" s="103"/>
      <c r="AF13" s="112"/>
      <c r="AG13" s="112"/>
      <c r="AH13" s="112"/>
      <c r="AI13" s="112"/>
      <c r="AJ13" s="112"/>
      <c r="AK13" s="112"/>
      <c r="AL13" s="112"/>
    </row>
    <row r="14" spans="2:38" ht="15" thickBot="1" x14ac:dyDescent="0.35">
      <c r="B14" s="105" t="s">
        <v>13</v>
      </c>
      <c r="C14" s="106">
        <f t="shared" ref="C14:N14" si="0">SUM(C5:C13)</f>
        <v>43530.719932744287</v>
      </c>
      <c r="D14" s="107">
        <f t="shared" si="0"/>
        <v>65815.100000000006</v>
      </c>
      <c r="E14" s="107">
        <f t="shared" si="0"/>
        <v>82098.69</v>
      </c>
      <c r="F14" s="108">
        <f t="shared" si="0"/>
        <v>111065.82</v>
      </c>
      <c r="G14" s="106">
        <f t="shared" si="0"/>
        <v>43530.719932744287</v>
      </c>
      <c r="H14" s="107">
        <f t="shared" si="0"/>
        <v>61410.509999999995</v>
      </c>
      <c r="I14" s="107">
        <f t="shared" si="0"/>
        <v>83571.5</v>
      </c>
      <c r="J14" s="108">
        <f t="shared" si="0"/>
        <v>124135.18</v>
      </c>
      <c r="K14" s="106">
        <f t="shared" si="0"/>
        <v>44023.30000000001</v>
      </c>
      <c r="L14" s="107">
        <f t="shared" si="0"/>
        <v>67667.34</v>
      </c>
      <c r="M14" s="107">
        <f t="shared" si="0"/>
        <v>85291.85</v>
      </c>
      <c r="N14" s="108">
        <f t="shared" si="0"/>
        <v>114232.10999999999</v>
      </c>
      <c r="O14" s="112"/>
      <c r="P14" s="105" t="s">
        <v>13</v>
      </c>
      <c r="Q14" s="107"/>
      <c r="R14" s="107"/>
      <c r="S14" s="108"/>
      <c r="T14" s="107"/>
      <c r="U14" s="107"/>
      <c r="V14" s="108"/>
      <c r="W14" s="107"/>
      <c r="X14" s="107"/>
      <c r="Y14" s="108"/>
      <c r="Z14" s="107"/>
      <c r="AA14" s="107"/>
      <c r="AB14" s="108"/>
      <c r="AC14" s="107"/>
      <c r="AD14" s="107"/>
      <c r="AE14" s="108"/>
      <c r="AF14" s="112"/>
      <c r="AG14" s="112"/>
      <c r="AH14" s="112"/>
      <c r="AI14" s="112"/>
      <c r="AJ14" s="112"/>
      <c r="AK14" s="112"/>
      <c r="AL14" s="117">
        <f>(L14-H14)/H14</f>
        <v>0.10188532874910178</v>
      </c>
    </row>
    <row r="15" spans="2:38" x14ac:dyDescent="0.3">
      <c r="B15" s="109"/>
      <c r="C15" s="110"/>
      <c r="D15" s="110"/>
      <c r="E15" s="110"/>
      <c r="F15" s="110"/>
      <c r="G15" s="110"/>
      <c r="H15" s="110"/>
      <c r="I15" s="110"/>
      <c r="J15" s="110"/>
      <c r="K15" s="110"/>
      <c r="L15" s="110"/>
      <c r="M15" s="110"/>
      <c r="N15" s="110"/>
      <c r="O15" s="112"/>
      <c r="P15" s="109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2"/>
      <c r="AG15" s="112"/>
      <c r="AH15" s="112"/>
      <c r="AI15" s="112"/>
      <c r="AJ15" s="112"/>
      <c r="AK15" s="112"/>
      <c r="AL15" s="112"/>
    </row>
    <row r="16" spans="2:38" ht="15" thickBot="1" x14ac:dyDescent="0.35">
      <c r="B16" s="111" t="s">
        <v>125</v>
      </c>
      <c r="C16" s="112"/>
      <c r="D16" s="112"/>
      <c r="E16" s="112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1" t="s">
        <v>62</v>
      </c>
      <c r="Q16" s="112"/>
      <c r="R16" s="112"/>
      <c r="S16" s="112"/>
      <c r="T16" s="112"/>
      <c r="U16" s="112"/>
      <c r="V16" s="112"/>
      <c r="W16" s="112"/>
      <c r="X16" s="112"/>
      <c r="Y16" s="112"/>
      <c r="Z16" s="112"/>
      <c r="AA16" s="112"/>
      <c r="AB16" s="112"/>
      <c r="AC16" s="112"/>
      <c r="AD16" s="112"/>
      <c r="AE16" s="112"/>
      <c r="AF16" s="112"/>
      <c r="AG16" s="112"/>
      <c r="AH16" s="112"/>
      <c r="AI16" s="112"/>
      <c r="AJ16" s="112"/>
      <c r="AK16" s="112"/>
      <c r="AL16" s="112"/>
    </row>
    <row r="17" spans="2:38" x14ac:dyDescent="0.3">
      <c r="B17" s="88"/>
      <c r="C17" s="89" t="s">
        <v>59</v>
      </c>
      <c r="D17" s="90"/>
      <c r="E17" s="90"/>
      <c r="F17" s="91"/>
      <c r="G17" s="89" t="s">
        <v>60</v>
      </c>
      <c r="H17" s="90"/>
      <c r="I17" s="90"/>
      <c r="J17" s="91"/>
      <c r="K17" s="92" t="s">
        <v>49</v>
      </c>
      <c r="L17" s="93"/>
      <c r="M17" s="94"/>
      <c r="N17" s="95"/>
      <c r="O17" s="112"/>
      <c r="P17" s="88"/>
      <c r="Q17" s="90" t="s">
        <v>117</v>
      </c>
      <c r="R17" s="90"/>
      <c r="S17" s="91"/>
      <c r="T17" s="90" t="s">
        <v>118</v>
      </c>
      <c r="U17" s="90"/>
      <c r="V17" s="91"/>
      <c r="W17" s="93" t="s">
        <v>119</v>
      </c>
      <c r="X17" s="94"/>
      <c r="Y17" s="95"/>
      <c r="Z17" s="93" t="s">
        <v>120</v>
      </c>
      <c r="AA17" s="94"/>
      <c r="AB17" s="95"/>
      <c r="AC17" s="93" t="s">
        <v>121</v>
      </c>
      <c r="AD17" s="94"/>
      <c r="AE17" s="95"/>
      <c r="AF17" s="112"/>
      <c r="AG17" s="112"/>
      <c r="AH17" s="112"/>
      <c r="AI17" s="112"/>
      <c r="AJ17" s="112"/>
      <c r="AK17" s="112"/>
      <c r="AL17" s="112"/>
    </row>
    <row r="18" spans="2:38" ht="15" thickBot="1" x14ac:dyDescent="0.35">
      <c r="B18" s="121" t="s">
        <v>1</v>
      </c>
      <c r="C18" s="122">
        <v>2019</v>
      </c>
      <c r="D18" s="123">
        <v>2030</v>
      </c>
      <c r="E18" s="123">
        <v>2035</v>
      </c>
      <c r="F18" s="124">
        <v>2040</v>
      </c>
      <c r="G18" s="122">
        <v>2019</v>
      </c>
      <c r="H18" s="123">
        <v>2030</v>
      </c>
      <c r="I18" s="123">
        <v>2035</v>
      </c>
      <c r="J18" s="124">
        <v>2040</v>
      </c>
      <c r="K18" s="122">
        <v>2020</v>
      </c>
      <c r="L18" s="123">
        <v>2030</v>
      </c>
      <c r="M18" s="123">
        <v>2035</v>
      </c>
      <c r="N18" s="124">
        <v>2040</v>
      </c>
      <c r="O18" s="112"/>
      <c r="P18" s="96" t="s">
        <v>1</v>
      </c>
      <c r="Q18" s="98">
        <v>2030</v>
      </c>
      <c r="R18" s="98">
        <v>2035</v>
      </c>
      <c r="S18" s="99">
        <v>2040</v>
      </c>
      <c r="T18" s="98">
        <v>2030</v>
      </c>
      <c r="U18" s="98">
        <v>2035</v>
      </c>
      <c r="V18" s="99">
        <v>2040</v>
      </c>
      <c r="W18" s="98">
        <v>2030</v>
      </c>
      <c r="X18" s="98">
        <v>2035</v>
      </c>
      <c r="Y18" s="99">
        <v>2040</v>
      </c>
      <c r="Z18" s="98">
        <v>2030</v>
      </c>
      <c r="AA18" s="98">
        <v>2035</v>
      </c>
      <c r="AB18" s="99">
        <v>2040</v>
      </c>
      <c r="AC18" s="98">
        <v>2030</v>
      </c>
      <c r="AD18" s="98">
        <v>2035</v>
      </c>
      <c r="AE18" s="99">
        <v>2040</v>
      </c>
      <c r="AF18" s="112"/>
      <c r="AG18" s="112"/>
      <c r="AH18" s="112"/>
      <c r="AI18" s="112"/>
      <c r="AJ18" s="112"/>
      <c r="AK18" s="112"/>
      <c r="AL18" s="112"/>
    </row>
    <row r="19" spans="2:38" x14ac:dyDescent="0.3">
      <c r="B19" s="100" t="s">
        <v>2</v>
      </c>
      <c r="C19" s="118">
        <f>NYISO!B23</f>
        <v>45428.500728271458</v>
      </c>
      <c r="D19" s="119">
        <f>NYISO!D23</f>
        <v>27444.03</v>
      </c>
      <c r="E19" s="119">
        <f>NYISO!E23</f>
        <v>28338.13</v>
      </c>
      <c r="F19" s="120">
        <f>NYISO!F23</f>
        <v>27092.16</v>
      </c>
      <c r="G19" s="118">
        <f>NYISO!I23</f>
        <v>45428.500728271458</v>
      </c>
      <c r="H19" s="119">
        <f>NYISO!K23</f>
        <v>27444.03</v>
      </c>
      <c r="I19" s="119">
        <f>NYISO!L23</f>
        <v>28338.13</v>
      </c>
      <c r="J19" s="120">
        <f>NYISO!M23</f>
        <v>27092.16</v>
      </c>
      <c r="K19" s="118">
        <f>'Integration Analysis'!O4</f>
        <v>38317.816801679503</v>
      </c>
      <c r="L19" s="119">
        <f>'Integration Analysis'!Q4</f>
        <v>26452.396801159401</v>
      </c>
      <c r="M19" s="119">
        <f>'Integration Analysis'!R4</f>
        <v>26452.396801159401</v>
      </c>
      <c r="N19" s="120">
        <f>'Integration Analysis'!S4</f>
        <v>26452.396801159401</v>
      </c>
      <c r="O19" s="112"/>
      <c r="P19" s="100" t="s">
        <v>2</v>
      </c>
      <c r="Q19" s="113">
        <f>(D19-C19)/C19</f>
        <v>-0.3958851918940659</v>
      </c>
      <c r="R19" s="113">
        <f>(E19-C19)/C19</f>
        <v>-0.37620371472298292</v>
      </c>
      <c r="S19" s="113">
        <f>(F19-C19)/C19</f>
        <v>-0.40363076998621328</v>
      </c>
      <c r="T19" s="113">
        <f>(H19-G19)/G19</f>
        <v>-0.3958851918940659</v>
      </c>
      <c r="U19" s="113">
        <f>(I19-G19)/G19</f>
        <v>-0.37620371472298292</v>
      </c>
      <c r="V19" s="113">
        <f>(J19-G19)/G19</f>
        <v>-0.40363076998621328</v>
      </c>
      <c r="W19" s="113">
        <f>(L19-K19)/K19</f>
        <v>-0.30965803876383768</v>
      </c>
      <c r="X19" s="113">
        <f>(M19-K19)/K19</f>
        <v>-0.30965803876383768</v>
      </c>
      <c r="Y19" s="113">
        <f>(N19-K19)/K19</f>
        <v>-0.30965803876383768</v>
      </c>
      <c r="Z19" s="113" t="e">
        <f>(#REF!-#REF!)/#REF!</f>
        <v>#REF!</v>
      </c>
      <c r="AA19" s="113" t="e">
        <f>(#REF!-#REF!)/#REF!</f>
        <v>#REF!</v>
      </c>
      <c r="AB19" s="113" t="e">
        <f>(#REF!-#REF!)/#REF!</f>
        <v>#REF!</v>
      </c>
      <c r="AC19" s="113" t="e">
        <f>(#REF!-#REF!)/#REF!</f>
        <v>#REF!</v>
      </c>
      <c r="AD19" s="113" t="e">
        <f>(#REF!-#REF!)/#REF!</f>
        <v>#REF!</v>
      </c>
      <c r="AE19" s="113" t="e">
        <f>(#REF!-#REF!)/#REF!</f>
        <v>#REF!</v>
      </c>
      <c r="AF19" s="112"/>
      <c r="AG19" s="112"/>
      <c r="AH19" s="112"/>
      <c r="AI19" s="112"/>
      <c r="AJ19" s="112"/>
      <c r="AK19" s="112"/>
      <c r="AL19" s="112"/>
    </row>
    <row r="20" spans="2:38" x14ac:dyDescent="0.3">
      <c r="B20" s="104" t="s">
        <v>3</v>
      </c>
      <c r="C20" s="101">
        <f>NYISO!B24</f>
        <v>50519.665856117608</v>
      </c>
      <c r="D20" s="102">
        <f>NYISO!D24</f>
        <v>19987.32</v>
      </c>
      <c r="E20" s="102">
        <f>NYISO!E24</f>
        <v>14516.19</v>
      </c>
      <c r="F20" s="103">
        <f>NYISO!F24</f>
        <v>0</v>
      </c>
      <c r="G20" s="101">
        <f>NYISO!I24</f>
        <v>50519.665856117608</v>
      </c>
      <c r="H20" s="102">
        <f>NYISO!K24</f>
        <v>20066.34</v>
      </c>
      <c r="I20" s="102">
        <f>NYISO!L24</f>
        <v>18908.41</v>
      </c>
      <c r="J20" s="103">
        <f>NYISO!M24</f>
        <v>0</v>
      </c>
      <c r="K20" s="101">
        <f>'Integration Analysis'!O5</f>
        <v>70449.42790432059</v>
      </c>
      <c r="L20" s="102">
        <f>'Integration Analysis'!Q5</f>
        <v>24561.805277608331</v>
      </c>
      <c r="M20" s="102">
        <f>'Integration Analysis'!R5</f>
        <v>19650.904656982111</v>
      </c>
      <c r="N20" s="103">
        <f>'Integration Analysis'!S5</f>
        <v>0</v>
      </c>
      <c r="O20" s="112"/>
      <c r="P20" s="104" t="s">
        <v>3</v>
      </c>
      <c r="Q20" s="113">
        <f>(D20-C20)/C20</f>
        <v>-0.60436555425911109</v>
      </c>
      <c r="R20" s="113">
        <f>(E20-C20)/C20</f>
        <v>-0.71266258883534983</v>
      </c>
      <c r="S20" s="113">
        <f>(F20-C20)/C20</f>
        <v>-1</v>
      </c>
      <c r="T20" s="113">
        <f>(H20-G20)/G20</f>
        <v>-0.60280141089709727</v>
      </c>
      <c r="U20" s="113">
        <f>(I20-G20)/G20</f>
        <v>-0.62572179210662149</v>
      </c>
      <c r="V20" s="113">
        <f>(J20-G20)/G20</f>
        <v>-1</v>
      </c>
      <c r="W20" s="113">
        <f>(L20-K20)/K20</f>
        <v>-0.65135550410762122</v>
      </c>
      <c r="X20" s="113">
        <f>(M20-K20)/K20</f>
        <v>-0.72106367302697516</v>
      </c>
      <c r="Y20" s="113">
        <f>(N20-K20)/K20</f>
        <v>-1</v>
      </c>
      <c r="Z20" s="113" t="e">
        <f>(#REF!-#REF!)/#REF!</f>
        <v>#REF!</v>
      </c>
      <c r="AA20" s="113" t="e">
        <f>(#REF!-#REF!)/#REF!</f>
        <v>#REF!</v>
      </c>
      <c r="AB20" s="113" t="e">
        <f>(#REF!-#REF!)/#REF!</f>
        <v>#REF!</v>
      </c>
      <c r="AC20" s="113" t="e">
        <f>(#REF!-#REF!)/#REF!</f>
        <v>#REF!</v>
      </c>
      <c r="AD20" s="113" t="e">
        <f>(#REF!-#REF!)/#REF!</f>
        <v>#REF!</v>
      </c>
      <c r="AE20" s="113" t="e">
        <f>(#REF!-#REF!)/#REF!</f>
        <v>#REF!</v>
      </c>
      <c r="AF20" s="112"/>
      <c r="AG20" s="112"/>
      <c r="AH20" s="112"/>
      <c r="AI20" s="112"/>
      <c r="AJ20" s="112"/>
      <c r="AK20" s="112"/>
      <c r="AL20" s="112"/>
    </row>
    <row r="21" spans="2:38" x14ac:dyDescent="0.3">
      <c r="B21" s="61" t="s">
        <v>7</v>
      </c>
      <c r="C21" s="101">
        <f>NYISO!B28</f>
        <v>40033.570416182403</v>
      </c>
      <c r="D21" s="102">
        <f>NYISO!D28</f>
        <v>46342.39</v>
      </c>
      <c r="E21" s="102">
        <f>NYISO!E28</f>
        <v>46392.32</v>
      </c>
      <c r="F21" s="103">
        <f>NYISO!F28</f>
        <v>46391.009999999995</v>
      </c>
      <c r="G21" s="101">
        <f>NYISO!I28</f>
        <v>40033.570416182403</v>
      </c>
      <c r="H21" s="102">
        <f>NYISO!K28</f>
        <v>46342.39</v>
      </c>
      <c r="I21" s="102">
        <f>NYISO!L28</f>
        <v>46392.32</v>
      </c>
      <c r="J21" s="103">
        <f>NYISO!M28</f>
        <v>46391.009999999995</v>
      </c>
      <c r="K21" s="101">
        <f>'Integration Analysis'!O8+'Integration Analysis'!O9+'Integration Analysis'!O10</f>
        <v>37481.409267220646</v>
      </c>
      <c r="L21" s="102">
        <f>'Integration Analysis'!Q8+'Integration Analysis'!Q9+'Integration Analysis'!Q10</f>
        <v>49977.605834422691</v>
      </c>
      <c r="M21" s="102">
        <f>'Integration Analysis'!R8+'Integration Analysis'!R9+'Integration Analysis'!R10</f>
        <v>50083.890437491558</v>
      </c>
      <c r="N21" s="103">
        <f>'Integration Analysis'!S8+'Integration Analysis'!S9+'Integration Analysis'!S10</f>
        <v>49165.462143637073</v>
      </c>
      <c r="O21" s="112"/>
      <c r="P21" s="61" t="s">
        <v>7</v>
      </c>
      <c r="Q21" s="113">
        <f>(D21-C21)/C21</f>
        <v>0.15758823203207076</v>
      </c>
      <c r="R21" s="113">
        <f>(E21-C21)/C21</f>
        <v>0.15883543530374841</v>
      </c>
      <c r="S21" s="113">
        <f>(F21-C21)/C21</f>
        <v>0.15880271276647814</v>
      </c>
      <c r="T21" s="113">
        <f>(H21-G21)/G21</f>
        <v>0.15758823203207076</v>
      </c>
      <c r="U21" s="113">
        <f>(I21-G21)/G21</f>
        <v>0.15883543530374841</v>
      </c>
      <c r="V21" s="113">
        <f>(J21-G21)/G21</f>
        <v>0.15880271276647814</v>
      </c>
      <c r="W21" s="113">
        <f>(L21-K21)/K21</f>
        <v>0.33339719107441856</v>
      </c>
      <c r="X21" s="113">
        <f>(M21-K21)/K21</f>
        <v>0.33623285294377681</v>
      </c>
      <c r="Y21" s="113">
        <f>(N21-K21)/K21</f>
        <v>0.31172928405962341</v>
      </c>
      <c r="Z21" s="113" t="e">
        <f>(#REF!-#REF!)/#REF!</f>
        <v>#REF!</v>
      </c>
      <c r="AA21" s="113" t="e">
        <f>(#REF!-#REF!)/#REF!</f>
        <v>#REF!</v>
      </c>
      <c r="AB21" s="113" t="e">
        <f>(#REF!-#REF!)/#REF!</f>
        <v>#REF!</v>
      </c>
      <c r="AC21" s="113" t="e">
        <f>(#REF!-#REF!)/#REF!</f>
        <v>#REF!</v>
      </c>
      <c r="AD21" s="113" t="e">
        <f>(#REF!-#REF!)/#REF!</f>
        <v>#REF!</v>
      </c>
      <c r="AE21" s="113" t="e">
        <f>(#REF!-#REF!)/#REF!</f>
        <v>#REF!</v>
      </c>
      <c r="AF21" s="112"/>
      <c r="AG21" s="112"/>
      <c r="AH21" s="112"/>
      <c r="AI21" s="112"/>
      <c r="AJ21" s="112"/>
      <c r="AK21" s="112"/>
      <c r="AL21" s="112"/>
    </row>
    <row r="22" spans="2:38" x14ac:dyDescent="0.3">
      <c r="B22" s="104" t="s">
        <v>8</v>
      </c>
      <c r="C22" s="101">
        <f>NYISO!B29</f>
        <v>4415.6059865357875</v>
      </c>
      <c r="D22" s="102">
        <f>NYISO!D29</f>
        <v>26971.239999999998</v>
      </c>
      <c r="E22" s="102">
        <f>NYISO!E29</f>
        <v>38296.81</v>
      </c>
      <c r="F22" s="103">
        <f>NYISO!F29</f>
        <v>59361.62</v>
      </c>
      <c r="G22" s="101">
        <f>NYISO!I29</f>
        <v>4415.6059865357875</v>
      </c>
      <c r="H22" s="102">
        <f>NYISO!K29</f>
        <v>16493.5</v>
      </c>
      <c r="I22" s="102">
        <f>NYISO!L29</f>
        <v>37460.47</v>
      </c>
      <c r="J22" s="103">
        <f>NYISO!M29</f>
        <v>59361.62</v>
      </c>
      <c r="K22" s="101">
        <f>'Integration Analysis'!O11+'Integration Analysis'!O12</f>
        <v>4796.1883632501595</v>
      </c>
      <c r="L22" s="102">
        <f>'Integration Analysis'!Q11+'Integration Analysis'!Q12</f>
        <v>16817.042224946919</v>
      </c>
      <c r="M22" s="102">
        <f>'Integration Analysis'!R11+'Integration Analysis'!R12</f>
        <v>34039.034609128146</v>
      </c>
      <c r="N22" s="103">
        <f>'Integration Analysis'!S11+'Integration Analysis'!S12</f>
        <v>41165.243427389963</v>
      </c>
      <c r="O22" s="112"/>
      <c r="P22" s="104" t="s">
        <v>8</v>
      </c>
      <c r="Q22" s="115">
        <f>(D22-C22)/C22</f>
        <v>5.108162748723867</v>
      </c>
      <c r="R22" s="115">
        <f>(E22-C22)/C22</f>
        <v>7.6730587187298642</v>
      </c>
      <c r="S22" s="115">
        <f>(F22-C22)/C22</f>
        <v>12.443595325535709</v>
      </c>
      <c r="T22" s="115">
        <f>(H22-G22)/G22</f>
        <v>2.735274399548449</v>
      </c>
      <c r="U22" s="115">
        <f>(I22-G22)/G22</f>
        <v>7.4836532322461986</v>
      </c>
      <c r="V22" s="115">
        <f>(J22-G22)/G22</f>
        <v>12.443595325535709</v>
      </c>
      <c r="W22" s="115">
        <f>(L22-K22)/K22</f>
        <v>2.5063348124114899</v>
      </c>
      <c r="X22" s="115">
        <f>(M22-K22)/K22</f>
        <v>6.097101287752893</v>
      </c>
      <c r="Y22" s="115">
        <f>(N22-K22)/K22</f>
        <v>7.5829079906057197</v>
      </c>
      <c r="Z22" s="115" t="e">
        <f>(#REF!-#REF!)/#REF!</f>
        <v>#REF!</v>
      </c>
      <c r="AA22" s="115" t="e">
        <f>(#REF!-#REF!)/#REF!</f>
        <v>#REF!</v>
      </c>
      <c r="AB22" s="115" t="e">
        <f>(#REF!-#REF!)/#REF!</f>
        <v>#REF!</v>
      </c>
      <c r="AC22" s="115" t="e">
        <f>(#REF!-#REF!)/#REF!</f>
        <v>#REF!</v>
      </c>
      <c r="AD22" s="115" t="e">
        <f>(#REF!-#REF!)/#REF!</f>
        <v>#REF!</v>
      </c>
      <c r="AE22" s="115" t="e">
        <f>(#REF!-#REF!)/#REF!</f>
        <v>#REF!</v>
      </c>
      <c r="AF22" s="112"/>
      <c r="AG22" s="116">
        <f>AVERAGE(F22,J22)</f>
        <v>59361.62</v>
      </c>
      <c r="AH22" s="116" t="e">
        <f>AVERAGE(N22,#REF!,#REF!)</f>
        <v>#REF!</v>
      </c>
      <c r="AI22" s="116" t="e">
        <f>AG22-AH22</f>
        <v>#REF!</v>
      </c>
      <c r="AJ22" s="114" t="e">
        <f>AI22/AH22</f>
        <v>#REF!</v>
      </c>
      <c r="AK22" s="112"/>
      <c r="AL22" s="112"/>
    </row>
    <row r="23" spans="2:38" x14ac:dyDescent="0.3">
      <c r="B23" s="104" t="s">
        <v>9</v>
      </c>
      <c r="C23" s="101">
        <f>NYISO!B30</f>
        <v>0</v>
      </c>
      <c r="D23" s="102">
        <f>NYISO!D30</f>
        <v>20185.510000000002</v>
      </c>
      <c r="E23" s="102">
        <f>NYISO!E30</f>
        <v>35459.620000000003</v>
      </c>
      <c r="F23" s="103">
        <f>NYISO!F30</f>
        <v>35646.869999999995</v>
      </c>
      <c r="G23" s="101">
        <f>NYISO!I30</f>
        <v>0</v>
      </c>
      <c r="H23" s="102">
        <f>NYISO!K30</f>
        <v>28865.32</v>
      </c>
      <c r="I23" s="102">
        <f>NYISO!L30</f>
        <v>35247</v>
      </c>
      <c r="J23" s="103">
        <f>NYISO!M30</f>
        <v>38387.81</v>
      </c>
      <c r="K23" s="101">
        <f>'Integration Analysis'!O13</f>
        <v>0</v>
      </c>
      <c r="L23" s="102">
        <f>'Integration Analysis'!Q13</f>
        <v>25656.99376878592</v>
      </c>
      <c r="M23" s="102">
        <f>'Integration Analysis'!R13</f>
        <v>41015.964262560832</v>
      </c>
      <c r="N23" s="103">
        <f>'Integration Analysis'!S13</f>
        <v>59777.950980425201</v>
      </c>
      <c r="O23" s="112"/>
      <c r="P23" s="104" t="s">
        <v>9</v>
      </c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5"/>
      <c r="AC23" s="115"/>
      <c r="AD23" s="115"/>
      <c r="AE23" s="115"/>
      <c r="AF23" s="112"/>
      <c r="AG23" s="116">
        <f>AVERAGE(F23,J23)</f>
        <v>37017.339999999997</v>
      </c>
      <c r="AH23" s="116" t="e">
        <f>AVERAGE(N23,#REF!,#REF!)</f>
        <v>#REF!</v>
      </c>
      <c r="AI23" s="116" t="e">
        <f>AG23-AH23</f>
        <v>#REF!</v>
      </c>
      <c r="AJ23" s="114" t="e">
        <f>AI23/AH23</f>
        <v>#REF!</v>
      </c>
      <c r="AK23" s="112"/>
      <c r="AL23" s="112"/>
    </row>
    <row r="24" spans="2:38" x14ac:dyDescent="0.3">
      <c r="B24" s="104" t="s">
        <v>38</v>
      </c>
      <c r="C24" s="101">
        <f>NYISO!B31+NYISO!B32</f>
        <v>2811.8469999999998</v>
      </c>
      <c r="D24" s="102">
        <f>NYISO!D31+NYISO!D32</f>
        <v>19884.22</v>
      </c>
      <c r="E24" s="102">
        <f>NYISO!E31+NYISO!E32</f>
        <v>20799.870000000003</v>
      </c>
      <c r="F24" s="103">
        <f>NYISO!F31+NYISO!F32</f>
        <v>21272.79</v>
      </c>
      <c r="G24" s="101">
        <f>NYISO!I31+NYISO!I32</f>
        <v>2811.8469999999998</v>
      </c>
      <c r="H24" s="102">
        <f>NYISO!K31+NYISO!K32</f>
        <v>23277.55</v>
      </c>
      <c r="I24" s="102">
        <f>NYISO!L31+NYISO!L32</f>
        <v>36884.020000000004</v>
      </c>
      <c r="J24" s="103">
        <f>NYISO!M31+NYISO!M32</f>
        <v>60924.59</v>
      </c>
      <c r="K24" s="101">
        <f>'Integration Analysis'!O14</f>
        <v>3908.3566481261523</v>
      </c>
      <c r="L24" s="102">
        <f>'Integration Analysis'!Q14</f>
        <v>32964.639999354833</v>
      </c>
      <c r="M24" s="102">
        <f>'Integration Analysis'!R14</f>
        <v>52780.975238022394</v>
      </c>
      <c r="N24" s="103">
        <f>'Integration Analysis'!S14</f>
        <v>80619.969541079321</v>
      </c>
      <c r="O24" s="112"/>
      <c r="P24" s="104" t="s">
        <v>38</v>
      </c>
      <c r="Q24" s="115">
        <f>(D24-C24)/C24</f>
        <v>6.0715867541868391</v>
      </c>
      <c r="R24" s="115">
        <f>(E24-C24)/C24</f>
        <v>6.3972268050146406</v>
      </c>
      <c r="S24" s="115">
        <f>(F24-C24)/C24</f>
        <v>6.5654151879529721</v>
      </c>
      <c r="T24" s="115">
        <f>(H24-G24)/G24</f>
        <v>7.2783842790877324</v>
      </c>
      <c r="U24" s="115">
        <f>(I24-G24)/G24</f>
        <v>12.11736378259557</v>
      </c>
      <c r="V24" s="115">
        <f>(J24-G24)/G24</f>
        <v>20.66710706521372</v>
      </c>
      <c r="W24" s="115">
        <f>(L24-K24)/K24</f>
        <v>7.4343991521755344</v>
      </c>
      <c r="X24" s="115">
        <f>(M24-K24)/K24</f>
        <v>12.504646579100719</v>
      </c>
      <c r="Y24" s="115">
        <f>(N24-K24)/K24</f>
        <v>19.627587704856023</v>
      </c>
      <c r="Z24" s="115" t="e">
        <f>(#REF!-#REF!)/#REF!</f>
        <v>#REF!</v>
      </c>
      <c r="AA24" s="115" t="e">
        <f>(#REF!-#REF!)/#REF!</f>
        <v>#REF!</v>
      </c>
      <c r="AB24" s="115" t="e">
        <f>(#REF!-#REF!)/#REF!</f>
        <v>#REF!</v>
      </c>
      <c r="AC24" s="115" t="e">
        <f>(#REF!-#REF!)/#REF!</f>
        <v>#REF!</v>
      </c>
      <c r="AD24" s="115" t="e">
        <f>(#REF!-#REF!)/#REF!</f>
        <v>#REF!</v>
      </c>
      <c r="AE24" s="115" t="e">
        <f>(#REF!-#REF!)/#REF!</f>
        <v>#REF!</v>
      </c>
      <c r="AF24" s="112"/>
      <c r="AG24" s="116">
        <f>F24</f>
        <v>21272.79</v>
      </c>
      <c r="AH24" s="116" t="e">
        <f>AVERAGE(N24,#REF!,#REF!,J24)</f>
        <v>#REF!</v>
      </c>
      <c r="AI24" s="116" t="e">
        <f>AG24-AH24</f>
        <v>#REF!</v>
      </c>
      <c r="AJ24" s="114" t="e">
        <f>AI24/AH24</f>
        <v>#REF!</v>
      </c>
      <c r="AK24" s="112"/>
      <c r="AL24" s="112"/>
    </row>
    <row r="25" spans="2:38" x14ac:dyDescent="0.3">
      <c r="B25" s="104" t="s">
        <v>12</v>
      </c>
      <c r="C25" s="101">
        <f>NYISO!B33</f>
        <v>611.56729479980459</v>
      </c>
      <c r="D25" s="102">
        <f>NYISO!D33</f>
        <v>7003.7100000000009</v>
      </c>
      <c r="E25" s="102">
        <f>NYISO!E33</f>
        <v>10084.120000000001</v>
      </c>
      <c r="F25" s="103">
        <f>NYISO!F33</f>
        <v>21339.48</v>
      </c>
      <c r="G25" s="101">
        <f>NYISO!I33</f>
        <v>611.56729479980459</v>
      </c>
      <c r="H25" s="102">
        <f>NYISO!K33</f>
        <v>2085.9100000000003</v>
      </c>
      <c r="I25" s="102">
        <f>NYISO!L33</f>
        <v>4492.1399999999994</v>
      </c>
      <c r="J25" s="103">
        <f>NYISO!M33</f>
        <v>13413.65</v>
      </c>
      <c r="K25" s="101">
        <f>'Integration Analysis'!O15+'Integration Analysis'!O16</f>
        <v>-89.958801205792241</v>
      </c>
      <c r="L25" s="102">
        <f>'Integration Analysis'!Q15+'Integration Analysis'!Q16</f>
        <v>-1007.0576774312483</v>
      </c>
      <c r="M25" s="102">
        <f>'Integration Analysis'!R15+'Integration Analysis'!R16</f>
        <v>-1666.4706621253326</v>
      </c>
      <c r="N25" s="103">
        <f>'Integration Analysis'!S15+'Integration Analysis'!S16</f>
        <v>-2543.3678620826149</v>
      </c>
      <c r="O25" s="112"/>
      <c r="P25" s="104" t="s">
        <v>12</v>
      </c>
      <c r="Q25" s="115">
        <f>(D25-C25)/C25</f>
        <v>10.452067596735453</v>
      </c>
      <c r="R25" s="115">
        <f>(E25-C25)/C25</f>
        <v>15.488978540458117</v>
      </c>
      <c r="S25" s="115">
        <f>(F25-C25)/C25</f>
        <v>33.89310200439256</v>
      </c>
      <c r="T25" s="115">
        <f>(H25-G25)/G25</f>
        <v>2.4107611995223177</v>
      </c>
      <c r="U25" s="115">
        <f>(I25-G25)/G25</f>
        <v>6.3452914146929542</v>
      </c>
      <c r="V25" s="115">
        <f>(J25-G25)/G25</f>
        <v>20.933236316031145</v>
      </c>
      <c r="W25" s="115">
        <f>(L25-K25)/K25</f>
        <v>10.194654263205168</v>
      </c>
      <c r="X25" s="115">
        <f>(M25-K25)/K25</f>
        <v>17.52482069334237</v>
      </c>
      <c r="Y25" s="115">
        <f>(N25-K25)/K25</f>
        <v>27.272585094418236</v>
      </c>
      <c r="Z25" s="115" t="e">
        <f>(#REF!-#REF!)/#REF!</f>
        <v>#REF!</v>
      </c>
      <c r="AA25" s="115" t="e">
        <f>(#REF!-#REF!)/#REF!</f>
        <v>#REF!</v>
      </c>
      <c r="AB25" s="115" t="e">
        <f>(#REF!-#REF!)/#REF!</f>
        <v>#REF!</v>
      </c>
      <c r="AC25" s="115" t="e">
        <f>(#REF!-#REF!)/#REF!</f>
        <v>#REF!</v>
      </c>
      <c r="AD25" s="115" t="e">
        <f>(#REF!-#REF!)/#REF!</f>
        <v>#REF!</v>
      </c>
      <c r="AE25" s="115" t="e">
        <f>(#REF!-#REF!)/#REF!</f>
        <v>#REF!</v>
      </c>
      <c r="AF25" s="112"/>
      <c r="AG25" s="112"/>
      <c r="AH25" s="112"/>
      <c r="AI25" s="112"/>
      <c r="AJ25" s="112"/>
      <c r="AK25" s="112"/>
      <c r="AL25" s="112"/>
    </row>
    <row r="26" spans="2:38" x14ac:dyDescent="0.3">
      <c r="B26" s="104" t="s">
        <v>48</v>
      </c>
      <c r="C26" s="101">
        <f>SUM(NYISO!B25:B27)</f>
        <v>0</v>
      </c>
      <c r="D26" s="102">
        <f>SUM(NYISO!D25:D27)</f>
        <v>0</v>
      </c>
      <c r="E26" s="102">
        <f>SUM(NYISO!E25:E27)</f>
        <v>0</v>
      </c>
      <c r="F26" s="103">
        <f>SUM(NYISO!F25:F27)</f>
        <v>34005.49</v>
      </c>
      <c r="G26" s="101">
        <f>SUM(NYISO!I25:I27)</f>
        <v>0</v>
      </c>
      <c r="H26" s="102">
        <f>SUM(NYISO!K25:K27)</f>
        <v>0</v>
      </c>
      <c r="I26" s="102">
        <f>SUM(NYISO!L25:L27)</f>
        <v>0</v>
      </c>
      <c r="J26" s="103">
        <f>SUM(NYISO!M25:M27)</f>
        <v>5583.72</v>
      </c>
      <c r="K26" s="101">
        <f>'Integration Analysis'!O6</f>
        <v>0</v>
      </c>
      <c r="L26" s="102">
        <f>'Integration Analysis'!Q6</f>
        <v>0</v>
      </c>
      <c r="M26" s="102">
        <f>'Integration Analysis'!R6</f>
        <v>0</v>
      </c>
      <c r="N26" s="103">
        <f>'Integration Analysis'!S6</f>
        <v>3342.261778048708</v>
      </c>
      <c r="O26" s="112"/>
      <c r="P26" s="104" t="s">
        <v>48</v>
      </c>
      <c r="Q26" s="113"/>
      <c r="R26" s="113"/>
      <c r="S26" s="113"/>
      <c r="T26" s="113"/>
      <c r="U26" s="113"/>
      <c r="V26" s="113"/>
      <c r="W26" s="113"/>
      <c r="X26" s="113"/>
      <c r="Y26" s="113"/>
      <c r="Z26" s="113"/>
      <c r="AA26" s="113"/>
      <c r="AB26" s="113"/>
      <c r="AC26" s="113"/>
      <c r="AD26" s="113"/>
      <c r="AE26" s="113"/>
      <c r="AF26" s="112"/>
      <c r="AG26" s="116">
        <f>F26</f>
        <v>34005.49</v>
      </c>
      <c r="AH26" s="116" t="e">
        <f>AVERAGE(N26,#REF!,#REF!,J26)</f>
        <v>#REF!</v>
      </c>
      <c r="AI26" s="116" t="e">
        <f>AG26-AH26</f>
        <v>#REF!</v>
      </c>
      <c r="AJ26" s="114" t="e">
        <f>AI26/AH26</f>
        <v>#REF!</v>
      </c>
      <c r="AK26" s="112"/>
      <c r="AL26" s="112"/>
    </row>
    <row r="27" spans="2:38" x14ac:dyDescent="0.3">
      <c r="B27" s="104" t="s">
        <v>50</v>
      </c>
      <c r="C27" s="101"/>
      <c r="D27" s="102"/>
      <c r="E27" s="102"/>
      <c r="F27" s="103"/>
      <c r="G27" s="101"/>
      <c r="H27" s="102"/>
      <c r="I27" s="102"/>
      <c r="J27" s="103"/>
      <c r="K27" s="101">
        <f>'Integration Analysis'!O7</f>
        <v>2721.2064001192771</v>
      </c>
      <c r="L27" s="102">
        <f>'Integration Analysis'!Q7</f>
        <v>2721.2064001192771</v>
      </c>
      <c r="M27" s="102">
        <f>'Integration Analysis'!R7</f>
        <v>2721.2064001192771</v>
      </c>
      <c r="N27" s="103">
        <f>'Integration Analysis'!S7</f>
        <v>2721.2064001192771</v>
      </c>
      <c r="O27" s="112"/>
      <c r="P27" s="104" t="s">
        <v>50</v>
      </c>
      <c r="Q27" s="102"/>
      <c r="R27" s="102"/>
      <c r="S27" s="103"/>
      <c r="T27" s="102"/>
      <c r="U27" s="102"/>
      <c r="V27" s="103"/>
      <c r="W27" s="102"/>
      <c r="X27" s="102"/>
      <c r="Y27" s="103"/>
      <c r="Z27" s="102"/>
      <c r="AA27" s="102"/>
      <c r="AB27" s="103"/>
      <c r="AC27" s="102"/>
      <c r="AD27" s="102"/>
      <c r="AE27" s="103"/>
      <c r="AF27" s="112"/>
      <c r="AG27" s="112"/>
      <c r="AH27" s="112"/>
      <c r="AI27" s="112"/>
      <c r="AJ27" s="112"/>
      <c r="AK27" s="112"/>
      <c r="AL27" s="112"/>
    </row>
    <row r="28" spans="2:38" ht="15" thickBot="1" x14ac:dyDescent="0.35">
      <c r="B28" s="105" t="s">
        <v>13</v>
      </c>
      <c r="C28" s="106">
        <f t="shared" ref="C28:N28" si="1">SUM(C19:C27)</f>
        <v>143820.75728190708</v>
      </c>
      <c r="D28" s="107">
        <f t="shared" si="1"/>
        <v>167818.41999999998</v>
      </c>
      <c r="E28" s="107">
        <f t="shared" si="1"/>
        <v>193887.06</v>
      </c>
      <c r="F28" s="108">
        <f t="shared" si="1"/>
        <v>245109.42</v>
      </c>
      <c r="G28" s="106">
        <f t="shared" si="1"/>
        <v>143820.75728190708</v>
      </c>
      <c r="H28" s="107">
        <f t="shared" si="1"/>
        <v>164575.03999999998</v>
      </c>
      <c r="I28" s="107">
        <f t="shared" si="1"/>
        <v>207722.49000000005</v>
      </c>
      <c r="J28" s="108">
        <f t="shared" si="1"/>
        <v>251154.56</v>
      </c>
      <c r="K28" s="106">
        <f t="shared" si="1"/>
        <v>157584.44658351052</v>
      </c>
      <c r="L28" s="107">
        <f t="shared" si="1"/>
        <v>178144.63262896612</v>
      </c>
      <c r="M28" s="107">
        <f t="shared" si="1"/>
        <v>225077.90174333836</v>
      </c>
      <c r="N28" s="108">
        <f t="shared" si="1"/>
        <v>260701.12320977633</v>
      </c>
      <c r="O28" s="112"/>
      <c r="P28" s="105" t="s">
        <v>13</v>
      </c>
      <c r="Q28" s="107"/>
      <c r="R28" s="107"/>
      <c r="S28" s="108"/>
      <c r="T28" s="107"/>
      <c r="U28" s="107"/>
      <c r="V28" s="108"/>
      <c r="W28" s="107"/>
      <c r="X28" s="107"/>
      <c r="Y28" s="108"/>
      <c r="Z28" s="107"/>
      <c r="AA28" s="107"/>
      <c r="AB28" s="108"/>
      <c r="AC28" s="107"/>
      <c r="AD28" s="107"/>
      <c r="AE28" s="108"/>
      <c r="AF28" s="112"/>
      <c r="AG28" s="112"/>
      <c r="AH28" s="112"/>
      <c r="AI28" s="112"/>
      <c r="AJ28" s="112"/>
      <c r="AK28" s="112"/>
      <c r="AL28" s="117">
        <f>(L28-H28)/H28</f>
        <v>8.2452312507207318E-2</v>
      </c>
    </row>
    <row r="30" spans="2:38" ht="15" thickBot="1" x14ac:dyDescent="0.35">
      <c r="B30" s="2" t="s">
        <v>126</v>
      </c>
    </row>
    <row r="31" spans="2:38" x14ac:dyDescent="0.3">
      <c r="B31" s="57"/>
      <c r="C31" s="76" t="s">
        <v>59</v>
      </c>
      <c r="D31" s="77"/>
      <c r="E31" s="77"/>
      <c r="F31" s="78"/>
      <c r="G31" s="76" t="s">
        <v>60</v>
      </c>
      <c r="H31" s="77"/>
      <c r="I31" s="77"/>
      <c r="J31" s="78"/>
      <c r="K31" s="79" t="s">
        <v>49</v>
      </c>
      <c r="L31" s="80"/>
      <c r="M31" s="81"/>
      <c r="N31" s="82"/>
    </row>
    <row r="32" spans="2:38" ht="15" thickBot="1" x14ac:dyDescent="0.35">
      <c r="B32" s="126" t="s">
        <v>1</v>
      </c>
      <c r="C32" s="127">
        <v>2019</v>
      </c>
      <c r="D32" s="128">
        <v>2030</v>
      </c>
      <c r="E32" s="128">
        <v>2035</v>
      </c>
      <c r="F32" s="129">
        <v>2040</v>
      </c>
      <c r="G32" s="127">
        <v>2019</v>
      </c>
      <c r="H32" s="128">
        <v>2030</v>
      </c>
      <c r="I32" s="128">
        <v>2035</v>
      </c>
      <c r="J32" s="129">
        <v>2040</v>
      </c>
      <c r="K32" s="127">
        <v>2020</v>
      </c>
      <c r="L32" s="128">
        <v>2030</v>
      </c>
      <c r="M32" s="128">
        <v>2035</v>
      </c>
      <c r="N32" s="129">
        <v>2040</v>
      </c>
    </row>
    <row r="33" spans="2:14" x14ac:dyDescent="0.3">
      <c r="B33" s="59" t="s">
        <v>2</v>
      </c>
      <c r="C33" s="125">
        <f>IF(C5&gt;0,C19/(C5*8.76),"")</f>
        <v>0.96033440414758386</v>
      </c>
      <c r="D33" s="125">
        <f t="shared" ref="D33:N41" si="2">IF(D5&gt;0,D19/(D5*8.76),"")</f>
        <v>0.93143455834288724</v>
      </c>
      <c r="E33" s="125">
        <f t="shared" si="2"/>
        <v>0.96157967630698649</v>
      </c>
      <c r="F33" s="125">
        <f t="shared" si="2"/>
        <v>0.91930097163281721</v>
      </c>
      <c r="G33" s="125">
        <f t="shared" si="2"/>
        <v>0.96033440414758386</v>
      </c>
      <c r="H33" s="125">
        <f t="shared" si="2"/>
        <v>0.9362780959882554</v>
      </c>
      <c r="I33" s="125">
        <f t="shared" si="2"/>
        <v>0.96157967630698649</v>
      </c>
      <c r="J33" s="125">
        <f t="shared" si="2"/>
        <v>0.91930097163281721</v>
      </c>
      <c r="K33" s="125">
        <f t="shared" si="2"/>
        <v>0.9000000000394478</v>
      </c>
      <c r="L33" s="125">
        <f t="shared" si="2"/>
        <v>0.9000000000394468</v>
      </c>
      <c r="M33" s="125">
        <f t="shared" si="2"/>
        <v>0.9000000000394468</v>
      </c>
      <c r="N33" s="125">
        <f t="shared" si="2"/>
        <v>0.9000000000394468</v>
      </c>
    </row>
    <row r="34" spans="2:14" x14ac:dyDescent="0.3">
      <c r="B34" s="60" t="s">
        <v>3</v>
      </c>
      <c r="C34" s="75">
        <f t="shared" ref="C34:N41" si="3">IF(C6&gt;0,C20/(C6*8.76),"")</f>
        <v>0.21959809395295185</v>
      </c>
      <c r="D34" s="75">
        <f t="shared" si="3"/>
        <v>0.10746466529983824</v>
      </c>
      <c r="E34" s="75">
        <f t="shared" si="3"/>
        <v>7.8041006280982275E-2</v>
      </c>
      <c r="F34" s="75" t="str">
        <f t="shared" si="3"/>
        <v/>
      </c>
      <c r="G34" s="75">
        <f t="shared" si="3"/>
        <v>0.21959809395295185</v>
      </c>
      <c r="H34" s="75">
        <f t="shared" si="3"/>
        <v>0.12978346074740968</v>
      </c>
      <c r="I34" s="75">
        <f t="shared" si="3"/>
        <v>0.13431373757430945</v>
      </c>
      <c r="J34" s="75" t="str">
        <f t="shared" si="3"/>
        <v/>
      </c>
      <c r="K34" s="75">
        <f t="shared" si="3"/>
        <v>0.30476510757486946</v>
      </c>
      <c r="L34" s="75">
        <f t="shared" si="3"/>
        <v>0.12993509637902589</v>
      </c>
      <c r="M34" s="75">
        <f t="shared" si="3"/>
        <v>0.12408613447558367</v>
      </c>
      <c r="N34" s="75" t="str">
        <f t="shared" si="3"/>
        <v/>
      </c>
    </row>
    <row r="35" spans="2:14" x14ac:dyDescent="0.3">
      <c r="B35" s="61" t="s">
        <v>7</v>
      </c>
      <c r="C35" s="75">
        <f t="shared" si="3"/>
        <v>0.72188351218095981</v>
      </c>
      <c r="D35" s="75">
        <f t="shared" si="2"/>
        <v>0.70189532376679653</v>
      </c>
      <c r="E35" s="75">
        <f t="shared" si="2"/>
        <v>0.70240925196086679</v>
      </c>
      <c r="F35" s="75">
        <f t="shared" si="2"/>
        <v>0.70235215598553236</v>
      </c>
      <c r="G35" s="75">
        <f t="shared" si="2"/>
        <v>0.72188351218095981</v>
      </c>
      <c r="H35" s="75">
        <f t="shared" si="2"/>
        <v>0.69060583621070426</v>
      </c>
      <c r="I35" s="75">
        <f t="shared" si="2"/>
        <v>0.69832470181536199</v>
      </c>
      <c r="J35" s="75">
        <f t="shared" si="2"/>
        <v>0.69826815326420755</v>
      </c>
      <c r="K35" s="75">
        <f t="shared" si="2"/>
        <v>0.74362248786708163</v>
      </c>
      <c r="L35" s="75">
        <f t="shared" si="2"/>
        <v>0.77676172799509347</v>
      </c>
      <c r="M35" s="75">
        <f t="shared" si="2"/>
        <v>0.77841362409056791</v>
      </c>
      <c r="N35" s="75">
        <f t="shared" si="2"/>
        <v>0.76379294472480741</v>
      </c>
    </row>
    <row r="36" spans="2:14" x14ac:dyDescent="0.3">
      <c r="B36" s="60" t="s">
        <v>8</v>
      </c>
      <c r="C36" s="75">
        <f t="shared" si="3"/>
        <v>0.25389845851073756</v>
      </c>
      <c r="D36" s="75">
        <f t="shared" si="2"/>
        <v>0.33885548147730471</v>
      </c>
      <c r="E36" s="75">
        <f t="shared" si="2"/>
        <v>0.34663944080355213</v>
      </c>
      <c r="F36" s="75">
        <f t="shared" si="2"/>
        <v>0.35502539079956236</v>
      </c>
      <c r="G36" s="75">
        <f t="shared" si="2"/>
        <v>0.25389845851073756</v>
      </c>
      <c r="H36" s="75">
        <f t="shared" si="2"/>
        <v>0.31967300154727663</v>
      </c>
      <c r="I36" s="75">
        <f t="shared" si="2"/>
        <v>0.34580066638072465</v>
      </c>
      <c r="J36" s="75">
        <f t="shared" si="2"/>
        <v>0.35502539079956236</v>
      </c>
      <c r="K36" s="75">
        <f t="shared" si="2"/>
        <v>0.28562266530805652</v>
      </c>
      <c r="L36" s="75">
        <f t="shared" si="2"/>
        <v>0.3444165388956999</v>
      </c>
      <c r="M36" s="75">
        <f t="shared" si="2"/>
        <v>0.38626244622632999</v>
      </c>
      <c r="N36" s="75">
        <f t="shared" si="2"/>
        <v>0.38385492001085147</v>
      </c>
    </row>
    <row r="37" spans="2:14" x14ac:dyDescent="0.3">
      <c r="B37" s="60" t="s">
        <v>9</v>
      </c>
      <c r="C37" s="75" t="str">
        <f t="shared" si="3"/>
        <v/>
      </c>
      <c r="D37" s="75">
        <f t="shared" si="2"/>
        <v>0.4575619466779825</v>
      </c>
      <c r="E37" s="75">
        <f t="shared" si="2"/>
        <v>0.44976686960933537</v>
      </c>
      <c r="F37" s="75">
        <f t="shared" si="2"/>
        <v>0.45214193302891925</v>
      </c>
      <c r="G37" s="75" t="str">
        <f t="shared" si="2"/>
        <v/>
      </c>
      <c r="H37" s="75">
        <f t="shared" si="2"/>
        <v>0.44313177163545969</v>
      </c>
      <c r="I37" s="75">
        <f t="shared" si="2"/>
        <v>0.44707001522070017</v>
      </c>
      <c r="J37" s="75">
        <f t="shared" si="2"/>
        <v>0.45084054437491777</v>
      </c>
      <c r="K37" s="75" t="str">
        <f t="shared" si="2"/>
        <v/>
      </c>
      <c r="L37" s="75">
        <f t="shared" si="2"/>
        <v>0.47240009148596845</v>
      </c>
      <c r="M37" s="75">
        <f t="shared" si="2"/>
        <v>0.47264270584728807</v>
      </c>
      <c r="N37" s="75">
        <f t="shared" si="2"/>
        <v>0.47508585957593324</v>
      </c>
    </row>
    <row r="38" spans="2:14" x14ac:dyDescent="0.3">
      <c r="B38" s="69" t="s">
        <v>38</v>
      </c>
      <c r="C38" s="75">
        <f t="shared" si="3"/>
        <v>0.14947012826850803</v>
      </c>
      <c r="D38" s="75">
        <f t="shared" si="2"/>
        <v>0.15408816231332906</v>
      </c>
      <c r="E38" s="75">
        <f t="shared" si="2"/>
        <v>0.15314751475813779</v>
      </c>
      <c r="F38" s="75">
        <f t="shared" si="2"/>
        <v>0.15297879469900702</v>
      </c>
      <c r="G38" s="75">
        <f t="shared" si="2"/>
        <v>0.14947012826850803</v>
      </c>
      <c r="H38" s="75">
        <f t="shared" si="2"/>
        <v>0.18714246439633822</v>
      </c>
      <c r="I38" s="75">
        <f t="shared" si="2"/>
        <v>0.16809012088702807</v>
      </c>
      <c r="J38" s="75">
        <f t="shared" si="2"/>
        <v>0.15674793242206889</v>
      </c>
      <c r="K38" s="75">
        <f t="shared" si="2"/>
        <v>0.17214003747052181</v>
      </c>
      <c r="L38" s="75">
        <f t="shared" si="2"/>
        <v>0.19961238840912746</v>
      </c>
      <c r="M38" s="75">
        <f t="shared" si="2"/>
        <v>0.20780982107959492</v>
      </c>
      <c r="N38" s="75">
        <f t="shared" si="2"/>
        <v>0.21189914037905791</v>
      </c>
    </row>
    <row r="39" spans="2:14" x14ac:dyDescent="0.3">
      <c r="B39" s="60" t="s">
        <v>12</v>
      </c>
      <c r="C39" s="75">
        <f t="shared" si="3"/>
        <v>4.9685872422507618E-2</v>
      </c>
      <c r="D39" s="75">
        <f t="shared" si="2"/>
        <v>0.18129895779328398</v>
      </c>
      <c r="E39" s="75">
        <f t="shared" si="2"/>
        <v>0.1987296227998199</v>
      </c>
      <c r="F39" s="75">
        <f t="shared" si="2"/>
        <v>0.21275173066185304</v>
      </c>
      <c r="G39" s="75">
        <f t="shared" si="2"/>
        <v>4.9685872422507618E-2</v>
      </c>
      <c r="H39" s="75">
        <f t="shared" si="2"/>
        <v>5.399614048134331E-2</v>
      </c>
      <c r="I39" s="75">
        <f t="shared" si="2"/>
        <v>8.3416652681999867E-2</v>
      </c>
      <c r="J39" s="75">
        <f t="shared" si="2"/>
        <v>0.11953556112654165</v>
      </c>
      <c r="K39" s="75">
        <f t="shared" si="2"/>
        <v>-4.6990342930540007E-3</v>
      </c>
      <c r="L39" s="75">
        <f t="shared" si="2"/>
        <v>-2.5918601922053801E-2</v>
      </c>
      <c r="M39" s="75">
        <f t="shared" si="2"/>
        <v>-2.6325120454519204E-2</v>
      </c>
      <c r="N39" s="75">
        <f t="shared" si="2"/>
        <v>-2.3899010092660655E-2</v>
      </c>
    </row>
    <row r="40" spans="2:14" x14ac:dyDescent="0.3">
      <c r="B40" s="60" t="s">
        <v>48</v>
      </c>
      <c r="C40" s="75" t="str">
        <f t="shared" si="3"/>
        <v/>
      </c>
      <c r="D40" s="75">
        <f t="shared" si="2"/>
        <v>0</v>
      </c>
      <c r="E40" s="75">
        <f t="shared" si="2"/>
        <v>0</v>
      </c>
      <c r="F40" s="75">
        <f t="shared" si="2"/>
        <v>8.6746040213459288E-2</v>
      </c>
      <c r="G40" s="75" t="str">
        <f t="shared" si="2"/>
        <v/>
      </c>
      <c r="H40" s="75">
        <f t="shared" si="2"/>
        <v>0</v>
      </c>
      <c r="I40" s="75">
        <f t="shared" si="2"/>
        <v>0</v>
      </c>
      <c r="J40" s="75">
        <f t="shared" si="2"/>
        <v>2.3434226430298147E-2</v>
      </c>
      <c r="K40" s="75" t="str">
        <f t="shared" si="2"/>
        <v/>
      </c>
      <c r="L40" s="75" t="str">
        <f t="shared" si="2"/>
        <v/>
      </c>
      <c r="M40" s="75" t="str">
        <f t="shared" si="2"/>
        <v/>
      </c>
      <c r="N40" s="75">
        <f t="shared" si="2"/>
        <v>1.8155145293985687E-2</v>
      </c>
    </row>
    <row r="41" spans="2:14" x14ac:dyDescent="0.3">
      <c r="B41" s="60" t="s">
        <v>50</v>
      </c>
      <c r="C41" s="75" t="str">
        <f t="shared" si="3"/>
        <v/>
      </c>
      <c r="D41" s="75" t="str">
        <f t="shared" si="2"/>
        <v/>
      </c>
      <c r="E41" s="75" t="str">
        <f t="shared" si="2"/>
        <v/>
      </c>
      <c r="F41" s="75" t="str">
        <f t="shared" si="2"/>
        <v/>
      </c>
      <c r="G41" s="75" t="str">
        <f t="shared" si="2"/>
        <v/>
      </c>
      <c r="H41" s="75" t="str">
        <f t="shared" si="2"/>
        <v/>
      </c>
      <c r="I41" s="75" t="str">
        <f t="shared" si="2"/>
        <v/>
      </c>
      <c r="J41" s="75" t="str">
        <f t="shared" si="2"/>
        <v/>
      </c>
      <c r="K41" s="75">
        <f t="shared" si="2"/>
        <v>0.94996941900188414</v>
      </c>
      <c r="L41" s="75">
        <f t="shared" si="2"/>
        <v>0.94996941900188414</v>
      </c>
      <c r="M41" s="75">
        <f t="shared" si="2"/>
        <v>0.94996941900188414</v>
      </c>
      <c r="N41" s="75">
        <f t="shared" si="2"/>
        <v>0.94996941900188414</v>
      </c>
    </row>
  </sheetData>
  <mergeCells count="19">
    <mergeCell ref="C31:F31"/>
    <mergeCell ref="C17:F17"/>
    <mergeCell ref="T17:V17"/>
    <mergeCell ref="W17:Y17"/>
    <mergeCell ref="Z17:AB17"/>
    <mergeCell ref="AC17:AE17"/>
    <mergeCell ref="G31:J31"/>
    <mergeCell ref="K31:N31"/>
    <mergeCell ref="T3:V3"/>
    <mergeCell ref="W3:Y3"/>
    <mergeCell ref="Z3:AB3"/>
    <mergeCell ref="AC3:AE3"/>
    <mergeCell ref="G17:J17"/>
    <mergeCell ref="K17:N17"/>
    <mergeCell ref="Q17:S17"/>
    <mergeCell ref="C3:F3"/>
    <mergeCell ref="G3:J3"/>
    <mergeCell ref="K3:N3"/>
    <mergeCell ref="Q3:S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75C8E-C614-45C9-A7DE-E8BC92DC42B6}">
  <dimension ref="A1:M44"/>
  <sheetViews>
    <sheetView workbookViewId="0">
      <selection activeCell="A2" sqref="A2"/>
    </sheetView>
  </sheetViews>
  <sheetFormatPr defaultRowHeight="14.4" x14ac:dyDescent="0.3"/>
  <cols>
    <col min="1" max="1" width="20.33203125" bestFit="1" customWidth="1"/>
    <col min="8" max="8" width="20.33203125" bestFit="1" customWidth="1"/>
  </cols>
  <sheetData>
    <row r="1" spans="1:13" x14ac:dyDescent="0.3">
      <c r="A1" t="s">
        <v>57</v>
      </c>
    </row>
    <row r="2" spans="1:13" x14ac:dyDescent="0.3">
      <c r="A2" s="1" t="s">
        <v>56</v>
      </c>
    </row>
    <row r="3" spans="1:13" x14ac:dyDescent="0.3">
      <c r="A3" s="1"/>
    </row>
    <row r="4" spans="1:13" x14ac:dyDescent="0.3">
      <c r="A4" s="2" t="s">
        <v>54</v>
      </c>
      <c r="H4" s="2" t="s">
        <v>55</v>
      </c>
    </row>
    <row r="5" spans="1:13" x14ac:dyDescent="0.3">
      <c r="A5" s="2"/>
      <c r="H5" s="2"/>
    </row>
    <row r="6" spans="1:13" x14ac:dyDescent="0.3">
      <c r="A6" s="83" t="s">
        <v>0</v>
      </c>
      <c r="B6" s="83"/>
      <c r="C6" s="83"/>
      <c r="D6" s="83"/>
      <c r="E6" s="83"/>
      <c r="F6" s="83"/>
      <c r="H6" s="83" t="s">
        <v>0</v>
      </c>
      <c r="I6" s="83"/>
      <c r="J6" s="83"/>
      <c r="K6" s="83"/>
      <c r="L6" s="83"/>
      <c r="M6" s="83"/>
    </row>
    <row r="7" spans="1:13" x14ac:dyDescent="0.3">
      <c r="A7" s="3" t="s">
        <v>1</v>
      </c>
      <c r="B7" s="3">
        <v>2019</v>
      </c>
      <c r="C7" s="3">
        <v>2025</v>
      </c>
      <c r="D7" s="3">
        <v>2030</v>
      </c>
      <c r="E7" s="3">
        <v>2035</v>
      </c>
      <c r="F7" s="3">
        <v>2040</v>
      </c>
      <c r="H7" s="47" t="s">
        <v>1</v>
      </c>
      <c r="I7" s="47">
        <v>2019</v>
      </c>
      <c r="J7" s="47">
        <v>2025</v>
      </c>
      <c r="K7" s="47">
        <v>2030</v>
      </c>
      <c r="L7" s="47">
        <v>2035</v>
      </c>
      <c r="M7" s="47">
        <v>2040</v>
      </c>
    </row>
    <row r="8" spans="1:13" x14ac:dyDescent="0.3">
      <c r="A8" s="4" t="s">
        <v>2</v>
      </c>
      <c r="B8" s="49">
        <v>5400.1000976562555</v>
      </c>
      <c r="C8" s="49">
        <v>3346.1</v>
      </c>
      <c r="D8" s="49">
        <v>3363.5</v>
      </c>
      <c r="E8" s="49">
        <v>3364.2</v>
      </c>
      <c r="F8" s="49">
        <v>3364.2</v>
      </c>
      <c r="H8" s="4" t="s">
        <v>2</v>
      </c>
      <c r="I8" s="49">
        <v>5400.1000976562555</v>
      </c>
      <c r="J8" s="49">
        <v>3346.1</v>
      </c>
      <c r="K8" s="49">
        <v>3346.1</v>
      </c>
      <c r="L8" s="49">
        <v>3364.2</v>
      </c>
      <c r="M8" s="49">
        <v>3364.2</v>
      </c>
    </row>
    <row r="9" spans="1:13" x14ac:dyDescent="0.3">
      <c r="A9" s="4" t="s">
        <v>3</v>
      </c>
      <c r="B9" s="49">
        <v>26262</v>
      </c>
      <c r="C9" s="49">
        <v>21309.83</v>
      </c>
      <c r="D9" s="49">
        <v>21231.699999999997</v>
      </c>
      <c r="E9" s="49">
        <v>21233.699999999997</v>
      </c>
      <c r="F9" s="49">
        <v>0</v>
      </c>
      <c r="H9" s="4" t="s">
        <v>3</v>
      </c>
      <c r="I9" s="49">
        <v>26262</v>
      </c>
      <c r="J9" s="49">
        <v>19988.199999999997</v>
      </c>
      <c r="K9" s="49">
        <v>17650</v>
      </c>
      <c r="L9" s="49">
        <v>16070.539999999997</v>
      </c>
      <c r="M9" s="49">
        <v>0</v>
      </c>
    </row>
    <row r="10" spans="1:13" x14ac:dyDescent="0.3">
      <c r="A10" s="4" t="s">
        <v>4</v>
      </c>
      <c r="B10" s="49">
        <v>0</v>
      </c>
      <c r="C10" s="49">
        <v>0</v>
      </c>
      <c r="D10" s="49">
        <v>0</v>
      </c>
      <c r="E10" s="49">
        <v>0</v>
      </c>
      <c r="F10" s="49">
        <v>3811.75</v>
      </c>
      <c r="H10" s="4" t="s">
        <v>4</v>
      </c>
      <c r="I10" s="49">
        <v>0</v>
      </c>
      <c r="J10" s="49">
        <v>0</v>
      </c>
      <c r="K10" s="49">
        <v>0</v>
      </c>
      <c r="L10" s="49">
        <v>0</v>
      </c>
      <c r="M10" s="49">
        <v>0</v>
      </c>
    </row>
    <row r="11" spans="1:13" x14ac:dyDescent="0.3">
      <c r="A11" s="4" t="s">
        <v>5</v>
      </c>
      <c r="B11" s="49">
        <v>0</v>
      </c>
      <c r="C11" s="49">
        <v>0</v>
      </c>
      <c r="D11" s="49">
        <v>0</v>
      </c>
      <c r="E11" s="49">
        <v>0</v>
      </c>
      <c r="F11" s="49">
        <v>0</v>
      </c>
      <c r="H11" s="4" t="s">
        <v>5</v>
      </c>
      <c r="I11" s="49">
        <v>0</v>
      </c>
      <c r="J11" s="49">
        <v>0</v>
      </c>
      <c r="K11" s="49">
        <v>819.31</v>
      </c>
      <c r="L11" s="49">
        <v>3990.04</v>
      </c>
      <c r="M11" s="49">
        <v>27200</v>
      </c>
    </row>
    <row r="12" spans="1:13" x14ac:dyDescent="0.3">
      <c r="A12" s="4" t="s">
        <v>6</v>
      </c>
      <c r="B12" s="49">
        <v>0</v>
      </c>
      <c r="C12" s="49">
        <v>0</v>
      </c>
      <c r="D12" s="49">
        <v>419.64</v>
      </c>
      <c r="E12" s="49">
        <v>7052.56</v>
      </c>
      <c r="F12" s="49">
        <v>40938.480000000003</v>
      </c>
      <c r="H12" s="4" t="s">
        <v>6</v>
      </c>
      <c r="I12" s="49">
        <v>0</v>
      </c>
      <c r="J12" s="49">
        <v>0</v>
      </c>
      <c r="K12" s="49">
        <v>0</v>
      </c>
      <c r="L12" s="49">
        <v>0</v>
      </c>
      <c r="M12" s="49">
        <v>0</v>
      </c>
    </row>
    <row r="13" spans="1:13" x14ac:dyDescent="0.3">
      <c r="A13" s="4" t="s">
        <v>7</v>
      </c>
      <c r="B13" s="49">
        <v>6330.7198569271704</v>
      </c>
      <c r="C13" s="49">
        <v>6301.8600000000006</v>
      </c>
      <c r="D13" s="49">
        <v>7537.06</v>
      </c>
      <c r="E13" s="49">
        <v>7539.6600000000008</v>
      </c>
      <c r="F13" s="49">
        <v>7540.06</v>
      </c>
      <c r="H13" s="4" t="s">
        <v>7</v>
      </c>
      <c r="I13" s="49">
        <v>6330.7198569271704</v>
      </c>
      <c r="J13" s="49">
        <v>6414.52</v>
      </c>
      <c r="K13" s="49">
        <v>7660.27</v>
      </c>
      <c r="L13" s="49">
        <v>7583.76</v>
      </c>
      <c r="M13" s="49">
        <v>7584.1600000000008</v>
      </c>
    </row>
    <row r="14" spans="1:13" x14ac:dyDescent="0.3">
      <c r="A14" s="4" t="s">
        <v>8</v>
      </c>
      <c r="B14" s="49">
        <v>1985.3000025749204</v>
      </c>
      <c r="C14" s="49">
        <v>3334.7799999999997</v>
      </c>
      <c r="D14" s="49">
        <v>9086.2000000000007</v>
      </c>
      <c r="E14" s="49">
        <v>12611.900000000001</v>
      </c>
      <c r="F14" s="49">
        <v>19087.2</v>
      </c>
      <c r="H14" s="4" t="s">
        <v>8</v>
      </c>
      <c r="I14" s="49">
        <v>1985.3000025749204</v>
      </c>
      <c r="J14" s="49">
        <v>3137.7799999999997</v>
      </c>
      <c r="K14" s="49">
        <v>5889.83</v>
      </c>
      <c r="L14" s="49">
        <v>12366.400000000001</v>
      </c>
      <c r="M14" s="49">
        <v>19087.2</v>
      </c>
    </row>
    <row r="15" spans="1:13" x14ac:dyDescent="0.3">
      <c r="A15" s="4" t="s">
        <v>9</v>
      </c>
      <c r="B15" s="49">
        <v>0</v>
      </c>
      <c r="C15" s="49">
        <v>1826</v>
      </c>
      <c r="D15" s="49">
        <v>5036</v>
      </c>
      <c r="E15" s="49">
        <v>9000</v>
      </c>
      <c r="F15" s="49">
        <v>9000</v>
      </c>
      <c r="H15" s="4" t="s">
        <v>9</v>
      </c>
      <c r="I15" s="49">
        <v>0</v>
      </c>
      <c r="J15" s="49">
        <v>1826</v>
      </c>
      <c r="K15" s="49">
        <v>7436</v>
      </c>
      <c r="L15" s="49">
        <v>9000</v>
      </c>
      <c r="M15" s="49">
        <v>9720</v>
      </c>
    </row>
    <row r="16" spans="1:13" x14ac:dyDescent="0.3">
      <c r="A16" s="4" t="s">
        <v>10</v>
      </c>
      <c r="B16" s="49">
        <v>31.5</v>
      </c>
      <c r="C16" s="49">
        <v>4676.0999999999995</v>
      </c>
      <c r="D16" s="49">
        <v>4676.0999999999995</v>
      </c>
      <c r="E16" s="49">
        <v>4676.0999999999995</v>
      </c>
      <c r="F16" s="49">
        <v>4676.0999999999995</v>
      </c>
      <c r="H16" s="4" t="s">
        <v>10</v>
      </c>
      <c r="I16" s="49">
        <v>31.5</v>
      </c>
      <c r="J16" s="49">
        <v>4676.0999999999995</v>
      </c>
      <c r="K16" s="49">
        <v>4676.0999999999995</v>
      </c>
      <c r="L16" s="49">
        <v>13448.09</v>
      </c>
      <c r="M16" s="49">
        <v>28605.72</v>
      </c>
    </row>
    <row r="17" spans="1:13" x14ac:dyDescent="0.3">
      <c r="A17" s="4" t="s">
        <v>11</v>
      </c>
      <c r="B17" s="49">
        <v>2116</v>
      </c>
      <c r="C17" s="49">
        <v>6834</v>
      </c>
      <c r="D17" s="49">
        <v>10055</v>
      </c>
      <c r="E17" s="49">
        <v>10828</v>
      </c>
      <c r="F17" s="49">
        <v>11198</v>
      </c>
      <c r="H17" s="4" t="s">
        <v>11</v>
      </c>
      <c r="I17" s="49">
        <v>2116</v>
      </c>
      <c r="J17" s="49">
        <v>6000</v>
      </c>
      <c r="K17" s="49">
        <v>9523</v>
      </c>
      <c r="L17" s="49">
        <v>11601</v>
      </c>
      <c r="M17" s="49">
        <v>15764</v>
      </c>
    </row>
    <row r="18" spans="1:13" x14ac:dyDescent="0.3">
      <c r="A18" s="4" t="s">
        <v>12</v>
      </c>
      <c r="B18" s="49">
        <v>1405.09997558594</v>
      </c>
      <c r="C18" s="49">
        <v>2909.9</v>
      </c>
      <c r="D18" s="49">
        <v>4409.8999999999996</v>
      </c>
      <c r="E18" s="49">
        <v>5792.57</v>
      </c>
      <c r="F18" s="49">
        <v>11450.029999999999</v>
      </c>
      <c r="H18" s="4" t="s">
        <v>12</v>
      </c>
      <c r="I18" s="49">
        <v>1405.09997558594</v>
      </c>
      <c r="J18" s="49">
        <v>2909.9</v>
      </c>
      <c r="K18" s="49">
        <v>4409.8999999999996</v>
      </c>
      <c r="L18" s="49">
        <v>6147.4699999999993</v>
      </c>
      <c r="M18" s="49">
        <v>12809.9</v>
      </c>
    </row>
    <row r="19" spans="1:13" x14ac:dyDescent="0.3">
      <c r="A19" s="4" t="s">
        <v>13</v>
      </c>
      <c r="B19" s="5">
        <f>SUM(B8:B18)</f>
        <v>43530.719932744287</v>
      </c>
      <c r="C19" s="5">
        <f t="shared" ref="C19:F19" si="0">SUM(C8:C18)</f>
        <v>50538.57</v>
      </c>
      <c r="D19" s="5">
        <f t="shared" si="0"/>
        <v>65815.099999999991</v>
      </c>
      <c r="E19" s="5">
        <f t="shared" si="0"/>
        <v>82098.69</v>
      </c>
      <c r="F19" s="5">
        <f t="shared" si="0"/>
        <v>111065.82</v>
      </c>
      <c r="H19" s="4" t="s">
        <v>13</v>
      </c>
      <c r="I19" s="49">
        <v>43838.11993814446</v>
      </c>
      <c r="J19" s="49">
        <v>48522.7</v>
      </c>
      <c r="K19" s="49">
        <v>62453.919999999998</v>
      </c>
      <c r="L19" s="49">
        <v>87786.639999999985</v>
      </c>
      <c r="M19" s="49">
        <v>124135.18</v>
      </c>
    </row>
    <row r="21" spans="1:13" x14ac:dyDescent="0.3">
      <c r="A21" s="83" t="s">
        <v>14</v>
      </c>
      <c r="B21" s="83"/>
      <c r="C21" s="83"/>
      <c r="D21" s="83"/>
      <c r="E21" s="83"/>
      <c r="F21" s="83"/>
      <c r="H21" s="83" t="s">
        <v>14</v>
      </c>
      <c r="I21" s="83"/>
      <c r="J21" s="83"/>
      <c r="K21" s="83"/>
      <c r="L21" s="83"/>
      <c r="M21" s="83"/>
    </row>
    <row r="22" spans="1:13" x14ac:dyDescent="0.3">
      <c r="A22" s="3" t="s">
        <v>1</v>
      </c>
      <c r="B22" s="3">
        <v>2019</v>
      </c>
      <c r="C22" s="3">
        <v>2025</v>
      </c>
      <c r="D22" s="3">
        <v>2030</v>
      </c>
      <c r="E22" s="3">
        <v>2035</v>
      </c>
      <c r="F22" s="3">
        <v>2040</v>
      </c>
      <c r="H22" s="47" t="s">
        <v>1</v>
      </c>
      <c r="I22" s="47">
        <v>2019</v>
      </c>
      <c r="J22" s="47">
        <v>2025</v>
      </c>
      <c r="K22" s="47">
        <v>2030</v>
      </c>
      <c r="L22" s="47">
        <v>2035</v>
      </c>
      <c r="M22" s="47">
        <v>2040</v>
      </c>
    </row>
    <row r="23" spans="1:13" x14ac:dyDescent="0.3">
      <c r="A23" s="4" t="s">
        <v>2</v>
      </c>
      <c r="B23" s="49">
        <v>45428.500728271458</v>
      </c>
      <c r="C23" s="49">
        <v>28337.96</v>
      </c>
      <c r="D23" s="49">
        <v>27444.03</v>
      </c>
      <c r="E23" s="49">
        <v>28338.13</v>
      </c>
      <c r="F23" s="49">
        <v>27092.16</v>
      </c>
      <c r="H23" s="4" t="s">
        <v>2</v>
      </c>
      <c r="I23" s="49">
        <v>45428.500728271458</v>
      </c>
      <c r="J23" s="49">
        <v>28337.96</v>
      </c>
      <c r="K23" s="49">
        <v>27444.03</v>
      </c>
      <c r="L23" s="49">
        <v>28338.13</v>
      </c>
      <c r="M23" s="49">
        <v>27092.16</v>
      </c>
    </row>
    <row r="24" spans="1:13" x14ac:dyDescent="0.3">
      <c r="A24" s="4" t="s">
        <v>3</v>
      </c>
      <c r="B24" s="49">
        <v>50519.665856117608</v>
      </c>
      <c r="C24" s="49">
        <v>54173.71</v>
      </c>
      <c r="D24" s="49">
        <v>19987.32</v>
      </c>
      <c r="E24" s="49">
        <v>14516.19</v>
      </c>
      <c r="F24" s="49">
        <v>0</v>
      </c>
      <c r="H24" s="4" t="s">
        <v>3</v>
      </c>
      <c r="I24" s="49">
        <v>50519.665856117608</v>
      </c>
      <c r="J24" s="49">
        <v>52436.5</v>
      </c>
      <c r="K24" s="49">
        <v>20066.34</v>
      </c>
      <c r="L24" s="49">
        <v>18908.41</v>
      </c>
      <c r="M24" s="49">
        <v>0</v>
      </c>
    </row>
    <row r="25" spans="1:13" x14ac:dyDescent="0.3">
      <c r="A25" s="4" t="s">
        <v>4</v>
      </c>
      <c r="B25" s="49">
        <v>0</v>
      </c>
      <c r="C25" s="49">
        <v>0</v>
      </c>
      <c r="D25" s="49">
        <v>0</v>
      </c>
      <c r="E25" s="49">
        <v>0</v>
      </c>
      <c r="F25" s="49">
        <v>33482.39</v>
      </c>
      <c r="H25" s="4" t="s">
        <v>4</v>
      </c>
      <c r="I25" s="49">
        <v>0</v>
      </c>
      <c r="J25" s="49">
        <v>0</v>
      </c>
      <c r="K25" s="49">
        <v>0</v>
      </c>
      <c r="L25" s="49">
        <v>0</v>
      </c>
      <c r="M25" s="49">
        <v>0</v>
      </c>
    </row>
    <row r="26" spans="1:13" x14ac:dyDescent="0.3">
      <c r="A26" s="4" t="s">
        <v>5</v>
      </c>
      <c r="B26" s="49">
        <v>0</v>
      </c>
      <c r="C26" s="49">
        <v>0</v>
      </c>
      <c r="D26" s="49">
        <v>0</v>
      </c>
      <c r="E26" s="49">
        <v>0</v>
      </c>
      <c r="F26" s="49">
        <v>0</v>
      </c>
      <c r="H26" s="4" t="s">
        <v>5</v>
      </c>
      <c r="I26" s="49">
        <v>0</v>
      </c>
      <c r="J26" s="49">
        <v>0</v>
      </c>
      <c r="K26" s="49">
        <v>0</v>
      </c>
      <c r="L26" s="49">
        <v>0</v>
      </c>
      <c r="M26" s="49">
        <v>5583.72</v>
      </c>
    </row>
    <row r="27" spans="1:13" x14ac:dyDescent="0.3">
      <c r="A27" s="4" t="s">
        <v>15</v>
      </c>
      <c r="B27" s="49">
        <v>0</v>
      </c>
      <c r="C27" s="49">
        <v>0</v>
      </c>
      <c r="D27" s="49">
        <v>0</v>
      </c>
      <c r="E27" s="49">
        <v>0</v>
      </c>
      <c r="F27" s="49">
        <v>523.1</v>
      </c>
      <c r="H27" s="4" t="s">
        <v>15</v>
      </c>
      <c r="I27" s="49">
        <v>0</v>
      </c>
      <c r="J27" s="49">
        <v>0</v>
      </c>
      <c r="K27" s="49">
        <v>0</v>
      </c>
      <c r="L27" s="49">
        <v>0</v>
      </c>
      <c r="M27" s="49">
        <v>0</v>
      </c>
    </row>
    <row r="28" spans="1:13" x14ac:dyDescent="0.3">
      <c r="A28" s="4" t="s">
        <v>7</v>
      </c>
      <c r="B28" s="49">
        <v>40033.570416182403</v>
      </c>
      <c r="C28" s="49">
        <v>36417.649999999994</v>
      </c>
      <c r="D28" s="49">
        <v>46342.39</v>
      </c>
      <c r="E28" s="49">
        <v>46392.32</v>
      </c>
      <c r="F28" s="49">
        <v>46391.009999999995</v>
      </c>
      <c r="H28" s="4" t="s">
        <v>7</v>
      </c>
      <c r="I28" s="49">
        <v>40033.570416182403</v>
      </c>
      <c r="J28" s="49">
        <v>36417.649999999994</v>
      </c>
      <c r="K28" s="49">
        <v>46342.39</v>
      </c>
      <c r="L28" s="49">
        <v>46392.32</v>
      </c>
      <c r="M28" s="49">
        <v>46391.009999999995</v>
      </c>
    </row>
    <row r="29" spans="1:13" x14ac:dyDescent="0.3">
      <c r="A29" s="4" t="s">
        <v>8</v>
      </c>
      <c r="B29" s="49">
        <v>4415.6059865357875</v>
      </c>
      <c r="C29" s="49">
        <v>8189.24</v>
      </c>
      <c r="D29" s="49">
        <v>26971.239999999998</v>
      </c>
      <c r="E29" s="49">
        <v>38296.81</v>
      </c>
      <c r="F29" s="49">
        <v>59361.62</v>
      </c>
      <c r="H29" s="4" t="s">
        <v>8</v>
      </c>
      <c r="I29" s="49">
        <v>4415.6059865357875</v>
      </c>
      <c r="J29" s="49">
        <v>7518.12</v>
      </c>
      <c r="K29" s="49">
        <v>16493.5</v>
      </c>
      <c r="L29" s="49">
        <v>37460.47</v>
      </c>
      <c r="M29" s="49">
        <v>59361.62</v>
      </c>
    </row>
    <row r="30" spans="1:13" x14ac:dyDescent="0.3">
      <c r="A30" s="4" t="s">
        <v>9</v>
      </c>
      <c r="B30" s="49">
        <v>0</v>
      </c>
      <c r="C30" s="49">
        <v>7331.05</v>
      </c>
      <c r="D30" s="49">
        <v>20185.510000000002</v>
      </c>
      <c r="E30" s="49">
        <v>35459.620000000003</v>
      </c>
      <c r="F30" s="49">
        <v>35646.869999999995</v>
      </c>
      <c r="H30" s="4" t="s">
        <v>9</v>
      </c>
      <c r="I30" s="49">
        <v>0</v>
      </c>
      <c r="J30" s="49">
        <v>7331.05</v>
      </c>
      <c r="K30" s="49">
        <v>28865.32</v>
      </c>
      <c r="L30" s="49">
        <v>35247</v>
      </c>
      <c r="M30" s="49">
        <v>38387.81</v>
      </c>
    </row>
    <row r="31" spans="1:13" x14ac:dyDescent="0.3">
      <c r="A31" s="4" t="s">
        <v>10</v>
      </c>
      <c r="B31" s="49">
        <v>50.521999999999998</v>
      </c>
      <c r="C31" s="49">
        <v>8816.619999999999</v>
      </c>
      <c r="D31" s="49">
        <v>8816.2099999999991</v>
      </c>
      <c r="E31" s="49">
        <v>8816.92</v>
      </c>
      <c r="F31" s="49">
        <v>8818.83</v>
      </c>
      <c r="H31" s="4" t="s">
        <v>10</v>
      </c>
      <c r="I31" s="49">
        <v>50.521999999999998</v>
      </c>
      <c r="J31" s="49">
        <v>8816.619999999999</v>
      </c>
      <c r="K31" s="49">
        <v>8816.2099999999991</v>
      </c>
      <c r="L31" s="49">
        <v>19661.120000000003</v>
      </c>
      <c r="M31" s="49">
        <v>37704.519999999997</v>
      </c>
    </row>
    <row r="32" spans="1:13" x14ac:dyDescent="0.3">
      <c r="A32" s="4" t="s">
        <v>11</v>
      </c>
      <c r="B32" s="49">
        <v>2761.3249999999998</v>
      </c>
      <c r="C32" s="49">
        <v>7483.13</v>
      </c>
      <c r="D32" s="49">
        <v>11068.01</v>
      </c>
      <c r="E32" s="49">
        <v>11982.95</v>
      </c>
      <c r="F32" s="49">
        <v>12453.96</v>
      </c>
      <c r="H32" s="4" t="s">
        <v>11</v>
      </c>
      <c r="I32" s="49">
        <v>2761.3249999999998</v>
      </c>
      <c r="J32" s="49">
        <v>7631.17</v>
      </c>
      <c r="K32" s="49">
        <v>14461.34</v>
      </c>
      <c r="L32" s="49">
        <v>17222.900000000001</v>
      </c>
      <c r="M32" s="49">
        <v>23220.07</v>
      </c>
    </row>
    <row r="33" spans="1:13" x14ac:dyDescent="0.3">
      <c r="A33" s="4" t="s">
        <v>12</v>
      </c>
      <c r="B33" s="49">
        <v>611.56729479980459</v>
      </c>
      <c r="C33" s="49">
        <v>4346.75</v>
      </c>
      <c r="D33" s="49">
        <v>7003.7100000000009</v>
      </c>
      <c r="E33" s="49">
        <v>10084.120000000001</v>
      </c>
      <c r="F33" s="49">
        <v>21339.48</v>
      </c>
      <c r="H33" s="4" t="s">
        <v>12</v>
      </c>
      <c r="I33" s="49">
        <v>611.56729479980459</v>
      </c>
      <c r="J33" s="49">
        <v>4006.6400000000003</v>
      </c>
      <c r="K33" s="49">
        <v>2085.9100000000003</v>
      </c>
      <c r="L33" s="49">
        <v>4492.1399999999994</v>
      </c>
      <c r="M33" s="49">
        <v>13413.65</v>
      </c>
    </row>
    <row r="34" spans="1:13" x14ac:dyDescent="0.3">
      <c r="A34" s="4" t="s">
        <v>16</v>
      </c>
      <c r="B34" s="49">
        <v>146262.02414991503</v>
      </c>
      <c r="C34" s="49">
        <v>157087.9</v>
      </c>
      <c r="D34" s="49">
        <v>169810.21</v>
      </c>
      <c r="E34" s="49">
        <v>195878.85</v>
      </c>
      <c r="F34" s="49">
        <v>245109.41999999995</v>
      </c>
      <c r="H34" s="4" t="s">
        <v>16</v>
      </c>
      <c r="I34" s="49">
        <v>146262.02414991503</v>
      </c>
      <c r="J34" s="49">
        <v>154487.5</v>
      </c>
      <c r="K34" s="49">
        <v>166566.82999999999</v>
      </c>
      <c r="L34" s="49">
        <v>209714.27999999997</v>
      </c>
      <c r="M34" s="49">
        <v>251154.55999999997</v>
      </c>
    </row>
    <row r="35" spans="1:13" x14ac:dyDescent="0.3">
      <c r="A35" s="4" t="s">
        <v>17</v>
      </c>
      <c r="B35" s="49">
        <v>47261.023402718187</v>
      </c>
      <c r="C35" s="49">
        <v>68237.69</v>
      </c>
      <c r="D35" s="49">
        <v>113383.36</v>
      </c>
      <c r="E35" s="49">
        <v>140948.62</v>
      </c>
      <c r="F35" s="49">
        <v>162672.28999999998</v>
      </c>
      <c r="H35" s="4" t="s">
        <v>17</v>
      </c>
      <c r="I35" s="49">
        <v>47261.023402718187</v>
      </c>
      <c r="J35" s="49">
        <v>67714.61</v>
      </c>
      <c r="K35" s="49">
        <v>114978.75999999998</v>
      </c>
      <c r="L35" s="49">
        <v>155983.81</v>
      </c>
      <c r="M35" s="49">
        <v>205065.03</v>
      </c>
    </row>
    <row r="36" spans="1:13" x14ac:dyDescent="0.3">
      <c r="A36" s="4" t="s">
        <v>18</v>
      </c>
      <c r="B36" s="49">
        <v>93301.091425789462</v>
      </c>
      <c r="C36" s="49">
        <v>100922.4</v>
      </c>
      <c r="D36" s="49">
        <v>147831.1</v>
      </c>
      <c r="E36" s="49">
        <v>179370.87</v>
      </c>
      <c r="F36" s="49">
        <v>245109.41999999998</v>
      </c>
      <c r="H36" s="4" t="s">
        <v>18</v>
      </c>
      <c r="I36" s="49">
        <v>93301.091425789462</v>
      </c>
      <c r="J36" s="49">
        <v>100059.21</v>
      </c>
      <c r="K36" s="49">
        <v>144508.69999999998</v>
      </c>
      <c r="L36" s="49">
        <v>188814.08000000002</v>
      </c>
      <c r="M36" s="49">
        <v>251154.56</v>
      </c>
    </row>
    <row r="37" spans="1:13" x14ac:dyDescent="0.3">
      <c r="A37" s="4" t="s">
        <v>19</v>
      </c>
      <c r="B37" s="49">
        <v>151386.18049999999</v>
      </c>
      <c r="C37" s="49">
        <v>152335.91</v>
      </c>
      <c r="D37" s="49">
        <v>162121.70000000001</v>
      </c>
      <c r="E37" s="49">
        <v>184835.71</v>
      </c>
      <c r="F37" s="49">
        <v>221827.96</v>
      </c>
      <c r="H37" s="4" t="s">
        <v>19</v>
      </c>
      <c r="I37" s="49">
        <v>151386.18049999999</v>
      </c>
      <c r="J37" s="49">
        <v>150046.54</v>
      </c>
      <c r="K37" s="49">
        <v>164255.35</v>
      </c>
      <c r="L37" s="49">
        <v>204763.79</v>
      </c>
      <c r="M37" s="49">
        <v>236334.45</v>
      </c>
    </row>
    <row r="38" spans="1:13" x14ac:dyDescent="0.3">
      <c r="A38" s="4" t="s">
        <v>20</v>
      </c>
      <c r="B38" s="49">
        <v>151772.68735559081</v>
      </c>
      <c r="C38" s="49">
        <v>157088.51</v>
      </c>
      <c r="D38" s="49">
        <v>169810.79</v>
      </c>
      <c r="E38" s="49">
        <v>195879.43</v>
      </c>
      <c r="F38" s="49">
        <v>245109.43</v>
      </c>
      <c r="H38" s="4" t="s">
        <v>20</v>
      </c>
      <c r="I38" s="49">
        <v>151772.68735559081</v>
      </c>
      <c r="J38" s="49">
        <v>154488.12</v>
      </c>
      <c r="K38" s="49">
        <v>166567.39000000001</v>
      </c>
      <c r="L38" s="49">
        <v>209714.87</v>
      </c>
      <c r="M38" s="49">
        <v>251154.57</v>
      </c>
    </row>
    <row r="39" spans="1:13" x14ac:dyDescent="0.3">
      <c r="A39" s="4" t="s">
        <v>21</v>
      </c>
      <c r="B39" s="6">
        <v>0.312188492018386</v>
      </c>
      <c r="C39" s="6">
        <v>0.44794224815409578</v>
      </c>
      <c r="D39" s="6">
        <v>0.69937189160982149</v>
      </c>
      <c r="E39" s="6">
        <v>0.76256162837797958</v>
      </c>
      <c r="F39" s="6">
        <v>0.73332635795776147</v>
      </c>
      <c r="H39" s="4" t="s">
        <v>21</v>
      </c>
      <c r="I39" s="6">
        <v>0.312188492018386</v>
      </c>
      <c r="J39" s="6">
        <v>0.45129071286815409</v>
      </c>
      <c r="K39" s="6">
        <v>0.7000000913212262</v>
      </c>
      <c r="L39" s="6">
        <v>0.76177438403538045</v>
      </c>
      <c r="M39" s="6">
        <v>0.86768996225476225</v>
      </c>
    </row>
    <row r="40" spans="1:13" x14ac:dyDescent="0.3">
      <c r="A40" s="4" t="s">
        <v>22</v>
      </c>
      <c r="B40" s="6">
        <v>0.61474230345011116</v>
      </c>
      <c r="C40" s="6">
        <v>0.64245564490999363</v>
      </c>
      <c r="D40" s="6">
        <v>0.87056364321725377</v>
      </c>
      <c r="E40" s="6">
        <v>0.91572080845855031</v>
      </c>
      <c r="F40" s="6">
        <v>0.99999995920189599</v>
      </c>
      <c r="H40" s="4" t="s">
        <v>22</v>
      </c>
      <c r="I40" s="6">
        <v>0.61474230345011116</v>
      </c>
      <c r="J40" s="6">
        <v>0.64768222954619425</v>
      </c>
      <c r="K40" s="6">
        <v>0.86756897613632522</v>
      </c>
      <c r="L40" s="6">
        <v>0.90033711009619877</v>
      </c>
      <c r="M40" s="6">
        <v>0.99999996018388193</v>
      </c>
    </row>
    <row r="42" spans="1:13" x14ac:dyDescent="0.3">
      <c r="A42" s="84" t="s">
        <v>23</v>
      </c>
      <c r="B42" s="84"/>
      <c r="C42" s="84"/>
      <c r="D42" s="84"/>
      <c r="E42" s="84"/>
      <c r="F42" s="84"/>
      <c r="H42" s="84" t="s">
        <v>23</v>
      </c>
      <c r="I42" s="84"/>
      <c r="J42" s="84"/>
      <c r="K42" s="84"/>
      <c r="L42" s="84"/>
      <c r="M42" s="84"/>
    </row>
    <row r="43" spans="1:13" x14ac:dyDescent="0.3">
      <c r="B43" s="3">
        <v>2019</v>
      </c>
      <c r="C43" s="3">
        <v>2025</v>
      </c>
      <c r="D43" s="3">
        <v>2030</v>
      </c>
      <c r="E43" s="3">
        <v>2035</v>
      </c>
      <c r="F43" s="3">
        <v>2040</v>
      </c>
      <c r="I43" s="47">
        <v>2019</v>
      </c>
      <c r="J43" s="47">
        <v>2025</v>
      </c>
      <c r="K43" s="47">
        <v>2030</v>
      </c>
      <c r="L43" s="47">
        <v>2035</v>
      </c>
      <c r="M43" s="47">
        <v>2040</v>
      </c>
    </row>
    <row r="44" spans="1:13" x14ac:dyDescent="0.3">
      <c r="A44" s="3" t="s">
        <v>24</v>
      </c>
      <c r="B44" s="7">
        <v>22.24</v>
      </c>
      <c r="C44" s="7">
        <v>23.53</v>
      </c>
      <c r="D44" s="7">
        <v>8.5</v>
      </c>
      <c r="E44" s="7">
        <v>6.22</v>
      </c>
      <c r="F44" s="7">
        <v>0</v>
      </c>
      <c r="H44" s="47" t="s">
        <v>24</v>
      </c>
      <c r="I44" s="7">
        <v>22.24</v>
      </c>
      <c r="J44" s="7">
        <v>23.53</v>
      </c>
      <c r="K44" s="7">
        <v>8.5</v>
      </c>
      <c r="L44" s="7">
        <v>6.22</v>
      </c>
      <c r="M44" s="7">
        <v>0</v>
      </c>
    </row>
  </sheetData>
  <mergeCells count="6">
    <mergeCell ref="A6:F6"/>
    <mergeCell ref="A21:F21"/>
    <mergeCell ref="A42:F42"/>
    <mergeCell ref="H6:M6"/>
    <mergeCell ref="H21:M21"/>
    <mergeCell ref="H42:M42"/>
  </mergeCells>
  <hyperlinks>
    <hyperlink ref="A2" r:id="rId1" xr:uid="{B934F706-6824-4E48-813A-714CCDA65B0C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FE9CF-38C8-4793-B774-ED99B76760F4}">
  <sheetPr>
    <pageSetUpPr fitToPage="1"/>
  </sheetPr>
  <dimension ref="A1:AD116"/>
  <sheetViews>
    <sheetView workbookViewId="0">
      <selection activeCell="O21" sqref="O21"/>
    </sheetView>
  </sheetViews>
  <sheetFormatPr defaultRowHeight="14.4" x14ac:dyDescent="0.3"/>
  <cols>
    <col min="1" max="1" width="22.33203125" bestFit="1" customWidth="1"/>
    <col min="2" max="2" width="5" bestFit="1" customWidth="1"/>
    <col min="3" max="3" width="2.77734375" customWidth="1"/>
    <col min="4" max="7" width="7.5546875" bestFit="1" customWidth="1"/>
    <col min="8" max="10" width="8.109375" bestFit="1" customWidth="1"/>
    <col min="12" max="12" width="22.33203125" bestFit="1" customWidth="1"/>
    <col min="13" max="13" width="5.5546875" bestFit="1" customWidth="1"/>
    <col min="14" max="14" width="1.88671875" customWidth="1"/>
    <col min="15" max="21" width="8.5546875" bestFit="1" customWidth="1"/>
    <col min="23" max="23" width="22.33203125" bestFit="1" customWidth="1"/>
    <col min="24" max="27" width="7.6640625" bestFit="1" customWidth="1"/>
    <col min="28" max="28" width="8.21875" bestFit="1" customWidth="1"/>
    <col min="29" max="30" width="8.5546875" bestFit="1" customWidth="1"/>
  </cols>
  <sheetData>
    <row r="1" spans="1:30" x14ac:dyDescent="0.3">
      <c r="A1" s="2" t="s">
        <v>25</v>
      </c>
      <c r="L1" s="2" t="s">
        <v>53</v>
      </c>
      <c r="W1" s="2" t="s">
        <v>58</v>
      </c>
      <c r="X1" s="51"/>
      <c r="Y1" s="51"/>
      <c r="Z1" s="51"/>
      <c r="AA1" s="51"/>
      <c r="AB1" s="51"/>
      <c r="AC1" s="51"/>
      <c r="AD1" s="51"/>
    </row>
    <row r="2" spans="1:30" x14ac:dyDescent="0.3">
      <c r="W2" s="50"/>
      <c r="X2" s="51"/>
      <c r="Y2" s="51"/>
      <c r="Z2" s="51"/>
      <c r="AA2" s="51"/>
      <c r="AB2" s="51"/>
      <c r="AC2" s="51"/>
      <c r="AD2" s="51"/>
    </row>
    <row r="3" spans="1:30" x14ac:dyDescent="0.3">
      <c r="A3" s="8" t="s">
        <v>26</v>
      </c>
      <c r="B3" s="9" t="s">
        <v>27</v>
      </c>
      <c r="C3" s="10"/>
      <c r="D3" s="11">
        <v>2020</v>
      </c>
      <c r="E3" s="11">
        <v>2025</v>
      </c>
      <c r="F3" s="11">
        <v>2030</v>
      </c>
      <c r="G3" s="11">
        <v>2035</v>
      </c>
      <c r="H3" s="11">
        <v>2040</v>
      </c>
      <c r="I3" s="11">
        <v>2045</v>
      </c>
      <c r="J3" s="11">
        <v>2050</v>
      </c>
      <c r="L3" s="8" t="s">
        <v>26</v>
      </c>
      <c r="M3" s="9" t="s">
        <v>27</v>
      </c>
      <c r="N3" s="10"/>
      <c r="O3" s="11">
        <v>2020</v>
      </c>
      <c r="P3" s="11">
        <v>2025</v>
      </c>
      <c r="Q3" s="11">
        <v>2030</v>
      </c>
      <c r="R3" s="11">
        <v>2035</v>
      </c>
      <c r="S3" s="11">
        <v>2040</v>
      </c>
      <c r="T3" s="11">
        <v>2045</v>
      </c>
      <c r="U3" s="11">
        <v>2050</v>
      </c>
      <c r="W3" s="52" t="s">
        <v>26</v>
      </c>
      <c r="X3" s="52">
        <v>2020</v>
      </c>
      <c r="Y3" s="52">
        <v>2025</v>
      </c>
      <c r="Z3" s="52">
        <v>2030</v>
      </c>
      <c r="AA3" s="52">
        <v>2035</v>
      </c>
      <c r="AB3" s="52">
        <v>2040</v>
      </c>
      <c r="AC3" s="52">
        <v>2045</v>
      </c>
      <c r="AD3" s="52">
        <v>2050</v>
      </c>
    </row>
    <row r="4" spans="1:30" x14ac:dyDescent="0.3">
      <c r="A4" s="12" t="s">
        <v>2</v>
      </c>
      <c r="B4" s="13" t="s">
        <v>28</v>
      </c>
      <c r="C4" s="14"/>
      <c r="D4" s="15">
        <v>4860.2</v>
      </c>
      <c r="E4" s="15">
        <v>3355.2</v>
      </c>
      <c r="F4" s="15">
        <v>3355.2</v>
      </c>
      <c r="G4" s="15">
        <v>3355.2</v>
      </c>
      <c r="H4" s="15">
        <v>3355.2</v>
      </c>
      <c r="I4" s="15">
        <v>3355.2</v>
      </c>
      <c r="J4" s="15">
        <v>2135.4</v>
      </c>
      <c r="L4" s="12" t="s">
        <v>2</v>
      </c>
      <c r="M4" s="13" t="s">
        <v>45</v>
      </c>
      <c r="N4" s="14"/>
      <c r="O4" s="15">
        <v>38317.816801679503</v>
      </c>
      <c r="P4" s="15">
        <v>26452.396801159401</v>
      </c>
      <c r="Q4" s="15">
        <v>26452.396801159401</v>
      </c>
      <c r="R4" s="15">
        <v>26452.396801159401</v>
      </c>
      <c r="S4" s="15">
        <v>26452.396801159401</v>
      </c>
      <c r="T4" s="15">
        <v>26452.396801159401</v>
      </c>
      <c r="U4" s="15">
        <v>16835.4936007379</v>
      </c>
      <c r="W4" s="53" t="s">
        <v>2</v>
      </c>
      <c r="X4" s="54">
        <f>IF(D4&gt;0,O4/(D4*8.76),"")</f>
        <v>0.9000000000394478</v>
      </c>
      <c r="Y4" s="54">
        <f t="shared" ref="Y4:AD4" si="0">IF(E4&gt;0,P4/(E4*8.76),"")</f>
        <v>0.9000000000394468</v>
      </c>
      <c r="Z4" s="54">
        <f t="shared" si="0"/>
        <v>0.9000000000394468</v>
      </c>
      <c r="AA4" s="54">
        <f t="shared" si="0"/>
        <v>0.9000000000394468</v>
      </c>
      <c r="AB4" s="54">
        <f t="shared" si="0"/>
        <v>0.9000000000394468</v>
      </c>
      <c r="AC4" s="54">
        <f t="shared" si="0"/>
        <v>0.9000000000394468</v>
      </c>
      <c r="AD4" s="54">
        <f t="shared" si="0"/>
        <v>0.90000000003944702</v>
      </c>
    </row>
    <row r="5" spans="1:30" x14ac:dyDescent="0.3">
      <c r="A5" s="16" t="s">
        <v>29</v>
      </c>
      <c r="B5" s="17" t="s">
        <v>28</v>
      </c>
      <c r="C5" s="18"/>
      <c r="D5" s="15">
        <v>26388.100000000002</v>
      </c>
      <c r="E5" s="15">
        <v>25775.200000000001</v>
      </c>
      <c r="F5" s="15">
        <v>21578.919999999995</v>
      </c>
      <c r="G5" s="15">
        <v>18078.2</v>
      </c>
      <c r="H5" s="15">
        <v>0</v>
      </c>
      <c r="I5" s="15">
        <v>0</v>
      </c>
      <c r="J5" s="15">
        <v>0</v>
      </c>
      <c r="L5" s="16" t="s">
        <v>29</v>
      </c>
      <c r="M5" s="17" t="s">
        <v>45</v>
      </c>
      <c r="N5" s="18"/>
      <c r="O5" s="15">
        <v>70449.42790432059</v>
      </c>
      <c r="P5" s="15">
        <v>58305.219412832885</v>
      </c>
      <c r="Q5" s="15">
        <v>24561.805277608331</v>
      </c>
      <c r="R5" s="15">
        <v>19650.904656982111</v>
      </c>
      <c r="S5" s="15">
        <v>0</v>
      </c>
      <c r="T5" s="15">
        <v>0</v>
      </c>
      <c r="U5" s="15">
        <v>0</v>
      </c>
      <c r="W5" s="53" t="s">
        <v>29</v>
      </c>
      <c r="X5" s="54">
        <f t="shared" ref="X5:X16" si="1">IF(D5&gt;0,O5/(D5*8.76),"")</f>
        <v>0.30476510757486946</v>
      </c>
      <c r="Y5" s="54">
        <f t="shared" ref="Y5:Y16" si="2">IF(E5&gt;0,P5/(E5*8.76),"")</f>
        <v>0.25822678252487896</v>
      </c>
      <c r="Z5" s="54">
        <f t="shared" ref="Z5:Z16" si="3">IF(F5&gt;0,Q5/(F5*8.76),"")</f>
        <v>0.12993509637902589</v>
      </c>
      <c r="AA5" s="54">
        <f t="shared" ref="AA5:AA16" si="4">IF(G5&gt;0,R5/(G5*8.76),"")</f>
        <v>0.12408613447558367</v>
      </c>
      <c r="AB5" s="54" t="str">
        <f t="shared" ref="AB5:AB16" si="5">IF(H5&gt;0,S5/(H5*8.76),"")</f>
        <v/>
      </c>
      <c r="AC5" s="54" t="str">
        <f t="shared" ref="AC5:AC16" si="6">IF(I5&gt;0,T5/(I5*8.76),"")</f>
        <v/>
      </c>
      <c r="AD5" s="54" t="str">
        <f t="shared" ref="AD5:AD16" si="7">IF(J5&gt;0,U5/(J5*8.76),"")</f>
        <v/>
      </c>
    </row>
    <row r="6" spans="1:30" x14ac:dyDescent="0.3">
      <c r="A6" s="16" t="s">
        <v>30</v>
      </c>
      <c r="B6" s="17" t="s">
        <v>28</v>
      </c>
      <c r="C6" s="18"/>
      <c r="D6" s="15">
        <v>0</v>
      </c>
      <c r="E6" s="15">
        <v>0</v>
      </c>
      <c r="F6" s="15">
        <v>0</v>
      </c>
      <c r="G6" s="15">
        <v>0</v>
      </c>
      <c r="H6" s="15">
        <v>21015.35</v>
      </c>
      <c r="I6" s="15">
        <v>21575.5</v>
      </c>
      <c r="J6" s="15">
        <v>21289.9</v>
      </c>
      <c r="L6" s="16" t="s">
        <v>30</v>
      </c>
      <c r="M6" s="17" t="s">
        <v>45</v>
      </c>
      <c r="N6" s="18"/>
      <c r="O6" s="15">
        <v>0</v>
      </c>
      <c r="P6" s="15">
        <v>0</v>
      </c>
      <c r="Q6" s="15">
        <v>0</v>
      </c>
      <c r="R6" s="15">
        <v>0</v>
      </c>
      <c r="S6" s="15">
        <v>3342.261778048708</v>
      </c>
      <c r="T6" s="15">
        <v>3675.0182673236004</v>
      </c>
      <c r="U6" s="15">
        <v>4152.5855243141459</v>
      </c>
      <c r="W6" s="53" t="s">
        <v>30</v>
      </c>
      <c r="X6" s="54" t="str">
        <f t="shared" si="1"/>
        <v/>
      </c>
      <c r="Y6" s="54" t="str">
        <f t="shared" si="2"/>
        <v/>
      </c>
      <c r="Z6" s="54" t="str">
        <f t="shared" si="3"/>
        <v/>
      </c>
      <c r="AA6" s="54" t="str">
        <f t="shared" si="4"/>
        <v/>
      </c>
      <c r="AB6" s="54">
        <f t="shared" si="5"/>
        <v>1.8155145293985687E-2</v>
      </c>
      <c r="AC6" s="54">
        <f t="shared" si="6"/>
        <v>1.9444399121972551E-2</v>
      </c>
      <c r="AD6" s="54">
        <f t="shared" si="7"/>
        <v>2.2265930953872814E-2</v>
      </c>
    </row>
    <row r="7" spans="1:30" x14ac:dyDescent="0.3">
      <c r="A7" s="16" t="s">
        <v>31</v>
      </c>
      <c r="B7" s="17" t="s">
        <v>28</v>
      </c>
      <c r="C7" s="18"/>
      <c r="D7" s="15">
        <v>327</v>
      </c>
      <c r="E7" s="15">
        <v>327</v>
      </c>
      <c r="F7" s="15">
        <v>327</v>
      </c>
      <c r="G7" s="15">
        <v>327</v>
      </c>
      <c r="H7" s="15">
        <v>327</v>
      </c>
      <c r="I7" s="15">
        <v>275</v>
      </c>
      <c r="J7" s="15">
        <v>177.9</v>
      </c>
      <c r="L7" s="16" t="s">
        <v>31</v>
      </c>
      <c r="M7" s="17" t="s">
        <v>45</v>
      </c>
      <c r="N7" s="18"/>
      <c r="O7" s="15">
        <v>2721.2064001192771</v>
      </c>
      <c r="P7" s="15">
        <v>2721.2064001192771</v>
      </c>
      <c r="Q7" s="15">
        <v>2721.2064001192771</v>
      </c>
      <c r="R7" s="15">
        <v>2721.2064001192771</v>
      </c>
      <c r="S7" s="15">
        <v>2721.2064001192771</v>
      </c>
      <c r="T7" s="15">
        <v>2288.4624001003108</v>
      </c>
      <c r="U7" s="15">
        <v>1480.440000064895</v>
      </c>
      <c r="W7" s="53" t="s">
        <v>31</v>
      </c>
      <c r="X7" s="54">
        <f t="shared" si="1"/>
        <v>0.94996941900188414</v>
      </c>
      <c r="Y7" s="54">
        <f t="shared" si="2"/>
        <v>0.94996941900188414</v>
      </c>
      <c r="Z7" s="54">
        <f t="shared" si="3"/>
        <v>0.94996941900188414</v>
      </c>
      <c r="AA7" s="54">
        <f t="shared" si="4"/>
        <v>0.94996941900188414</v>
      </c>
      <c r="AB7" s="54">
        <f t="shared" si="5"/>
        <v>0.94996941900188414</v>
      </c>
      <c r="AC7" s="54">
        <f t="shared" si="6"/>
        <v>0.94996363640527637</v>
      </c>
      <c r="AD7" s="54">
        <f t="shared" si="7"/>
        <v>0.94997189436429519</v>
      </c>
    </row>
    <row r="8" spans="1:30" x14ac:dyDescent="0.3">
      <c r="A8" s="16" t="s">
        <v>32</v>
      </c>
      <c r="B8" s="17" t="s">
        <v>28</v>
      </c>
      <c r="C8" s="18"/>
      <c r="D8" s="15">
        <v>4268.8600000000006</v>
      </c>
      <c r="E8" s="15">
        <v>4268.8600000000006</v>
      </c>
      <c r="F8" s="15">
        <v>4609.8600000000006</v>
      </c>
      <c r="G8" s="15">
        <v>4609.8600000000006</v>
      </c>
      <c r="H8" s="15">
        <v>4613.1900000000005</v>
      </c>
      <c r="I8" s="15">
        <v>4613.1900000000005</v>
      </c>
      <c r="J8" s="15">
        <v>4613.1900000000005</v>
      </c>
      <c r="L8" s="16" t="s">
        <v>32</v>
      </c>
      <c r="M8" s="17" t="s">
        <v>45</v>
      </c>
      <c r="N8" s="18"/>
      <c r="O8" s="15">
        <v>27120.868058293319</v>
      </c>
      <c r="P8" s="15">
        <v>27011.13379381055</v>
      </c>
      <c r="Q8" s="15">
        <v>30857.066267753151</v>
      </c>
      <c r="R8" s="15">
        <v>30963.350198286862</v>
      </c>
      <c r="S8" s="15">
        <v>30044.921775120321</v>
      </c>
      <c r="T8" s="15">
        <v>30020.974168887093</v>
      </c>
      <c r="U8" s="15">
        <v>30009.422894769472</v>
      </c>
      <c r="W8" s="53" t="s">
        <v>32</v>
      </c>
      <c r="X8" s="54">
        <f t="shared" si="1"/>
        <v>0.7252497164047037</v>
      </c>
      <c r="Y8" s="54">
        <f t="shared" si="2"/>
        <v>0.7223152696154288</v>
      </c>
      <c r="Z8" s="54">
        <f t="shared" si="3"/>
        <v>0.764122153229575</v>
      </c>
      <c r="AA8" s="54">
        <f t="shared" si="4"/>
        <v>0.76675409189634303</v>
      </c>
      <c r="AB8" s="54">
        <f t="shared" si="5"/>
        <v>0.74347373309297027</v>
      </c>
      <c r="AC8" s="54">
        <f t="shared" si="6"/>
        <v>0.74288113989741722</v>
      </c>
      <c r="AD8" s="54">
        <f t="shared" si="7"/>
        <v>0.74259529895050158</v>
      </c>
    </row>
    <row r="9" spans="1:30" x14ac:dyDescent="0.3">
      <c r="A9" s="16" t="s">
        <v>33</v>
      </c>
      <c r="B9" s="17" t="s">
        <v>28</v>
      </c>
      <c r="C9" s="18"/>
      <c r="D9" s="15">
        <v>1485</v>
      </c>
      <c r="E9" s="15">
        <v>1485</v>
      </c>
      <c r="F9" s="15">
        <v>1485</v>
      </c>
      <c r="G9" s="15">
        <v>1485</v>
      </c>
      <c r="H9" s="15">
        <v>1485</v>
      </c>
      <c r="I9" s="15">
        <v>1485</v>
      </c>
      <c r="J9" s="15">
        <v>1485</v>
      </c>
      <c r="L9" s="16" t="s">
        <v>33</v>
      </c>
      <c r="M9" s="17" t="s">
        <v>45</v>
      </c>
      <c r="N9" s="18"/>
      <c r="O9" s="15">
        <v>10360.541208927325</v>
      </c>
      <c r="P9" s="15">
        <v>10360.538447577715</v>
      </c>
      <c r="Q9" s="15">
        <v>10360.540167402702</v>
      </c>
      <c r="R9" s="15">
        <v>10360.535569091617</v>
      </c>
      <c r="S9" s="15">
        <v>10360.541133877461</v>
      </c>
      <c r="T9" s="15">
        <v>10360.535402492069</v>
      </c>
      <c r="U9" s="15">
        <v>10360.522663280772</v>
      </c>
      <c r="W9" s="53" t="s">
        <v>33</v>
      </c>
      <c r="X9" s="54">
        <f t="shared" si="1"/>
        <v>0.79643783411953051</v>
      </c>
      <c r="Y9" s="54">
        <f t="shared" si="2"/>
        <v>0.79643762184844757</v>
      </c>
      <c r="Z9" s="54">
        <f t="shared" si="3"/>
        <v>0.79643775405521744</v>
      </c>
      <c r="AA9" s="54">
        <f t="shared" si="4"/>
        <v>0.79643740057282231</v>
      </c>
      <c r="AB9" s="54">
        <f t="shared" si="5"/>
        <v>0.79643782835028065</v>
      </c>
      <c r="AC9" s="54">
        <f t="shared" si="6"/>
        <v>0.79643738776594475</v>
      </c>
      <c r="AD9" s="54">
        <f t="shared" si="7"/>
        <v>0.79643640847445318</v>
      </c>
    </row>
    <row r="10" spans="1:30" x14ac:dyDescent="0.3">
      <c r="A10" s="16" t="s">
        <v>34</v>
      </c>
      <c r="B10" s="17" t="s">
        <v>28</v>
      </c>
      <c r="C10" s="18"/>
      <c r="D10" s="15">
        <v>0</v>
      </c>
      <c r="E10" s="15">
        <v>0</v>
      </c>
      <c r="F10" s="15">
        <v>1250</v>
      </c>
      <c r="G10" s="15">
        <v>1250</v>
      </c>
      <c r="H10" s="15">
        <v>1250</v>
      </c>
      <c r="I10" s="15">
        <v>1250</v>
      </c>
      <c r="J10" s="15">
        <v>1250</v>
      </c>
      <c r="L10" s="16" t="s">
        <v>34</v>
      </c>
      <c r="M10" s="17" t="s">
        <v>45</v>
      </c>
      <c r="N10" s="18"/>
      <c r="O10" s="15">
        <v>0</v>
      </c>
      <c r="P10" s="15">
        <v>0</v>
      </c>
      <c r="Q10" s="15">
        <v>8759.9993992668406</v>
      </c>
      <c r="R10" s="15">
        <v>8760.0046701130796</v>
      </c>
      <c r="S10" s="15">
        <v>8759.9992346392901</v>
      </c>
      <c r="T10" s="15">
        <v>8760.0060301500598</v>
      </c>
      <c r="U10" s="15">
        <v>8760.0058105959088</v>
      </c>
      <c r="W10" s="53" t="s">
        <v>34</v>
      </c>
      <c r="X10" s="54" t="str">
        <f t="shared" si="1"/>
        <v/>
      </c>
      <c r="Y10" s="54" t="str">
        <f t="shared" si="2"/>
        <v/>
      </c>
      <c r="Z10" s="54">
        <f t="shared" si="3"/>
        <v>0.79999994513852424</v>
      </c>
      <c r="AA10" s="54">
        <f t="shared" si="4"/>
        <v>0.80000042649434522</v>
      </c>
      <c r="AB10" s="54">
        <f t="shared" si="5"/>
        <v>0.7999999301040448</v>
      </c>
      <c r="AC10" s="54">
        <f t="shared" si="6"/>
        <v>0.80000055069863563</v>
      </c>
      <c r="AD10" s="54">
        <f t="shared" si="7"/>
        <v>0.80000053064802823</v>
      </c>
    </row>
    <row r="11" spans="1:30" x14ac:dyDescent="0.3">
      <c r="A11" s="16" t="s">
        <v>35</v>
      </c>
      <c r="B11" s="17" t="s">
        <v>28</v>
      </c>
      <c r="C11" s="18"/>
      <c r="D11" s="15">
        <v>1916.9</v>
      </c>
      <c r="E11" s="15">
        <v>3292.48</v>
      </c>
      <c r="F11" s="15">
        <v>3814.0800000000004</v>
      </c>
      <c r="G11" s="15">
        <v>4263.3500000000004</v>
      </c>
      <c r="H11" s="15">
        <v>5845.4099999999971</v>
      </c>
      <c r="I11" s="15">
        <v>7780.6499999999987</v>
      </c>
      <c r="J11" s="15">
        <v>9445.2599999999984</v>
      </c>
      <c r="L11" s="16" t="s">
        <v>35</v>
      </c>
      <c r="M11" s="17" t="s">
        <v>45</v>
      </c>
      <c r="N11" s="18"/>
      <c r="O11" s="15">
        <v>4796.1883632501595</v>
      </c>
      <c r="P11" s="15">
        <v>8238.0029006487293</v>
      </c>
      <c r="Q11" s="15">
        <v>9873.3771121337777</v>
      </c>
      <c r="R11" s="15">
        <v>11228.535932669954</v>
      </c>
      <c r="S11" s="15">
        <v>16034.868769823162</v>
      </c>
      <c r="T11" s="15">
        <v>21853.698337453898</v>
      </c>
      <c r="U11" s="15">
        <v>26935.987922554119</v>
      </c>
      <c r="W11" s="53" t="s">
        <v>35</v>
      </c>
      <c r="X11" s="54">
        <f t="shared" si="1"/>
        <v>0.28562266530805652</v>
      </c>
      <c r="Y11" s="54">
        <f t="shared" si="2"/>
        <v>0.28562399468740701</v>
      </c>
      <c r="Z11" s="54">
        <f t="shared" si="3"/>
        <v>0.29550975434466181</v>
      </c>
      <c r="AA11" s="54">
        <f t="shared" si="4"/>
        <v>0.30065472910877244</v>
      </c>
      <c r="AB11" s="54">
        <f t="shared" si="5"/>
        <v>0.31314560851009615</v>
      </c>
      <c r="AC11" s="54">
        <f t="shared" si="6"/>
        <v>0.32063059282756307</v>
      </c>
      <c r="AD11" s="54">
        <f t="shared" si="7"/>
        <v>0.3255478902692982</v>
      </c>
    </row>
    <row r="12" spans="1:30" x14ac:dyDescent="0.3">
      <c r="A12" s="16" t="s">
        <v>36</v>
      </c>
      <c r="B12" s="17" t="s">
        <v>28</v>
      </c>
      <c r="C12" s="18"/>
      <c r="D12" s="15">
        <v>0</v>
      </c>
      <c r="E12" s="15">
        <v>0</v>
      </c>
      <c r="F12" s="15">
        <v>1759.85</v>
      </c>
      <c r="G12" s="15">
        <v>5796.48</v>
      </c>
      <c r="H12" s="15">
        <v>6396.79</v>
      </c>
      <c r="I12" s="15">
        <v>6396.79</v>
      </c>
      <c r="J12" s="15">
        <v>6396.8</v>
      </c>
      <c r="L12" s="16" t="s">
        <v>36</v>
      </c>
      <c r="M12" s="17" t="s">
        <v>45</v>
      </c>
      <c r="N12" s="18"/>
      <c r="O12" s="15">
        <v>0</v>
      </c>
      <c r="P12" s="15">
        <v>0</v>
      </c>
      <c r="Q12" s="15">
        <v>6943.6651128131407</v>
      </c>
      <c r="R12" s="15">
        <v>22810.498676458192</v>
      </c>
      <c r="S12" s="15">
        <v>25130.374657566801</v>
      </c>
      <c r="T12" s="15">
        <v>24915.912612082502</v>
      </c>
      <c r="U12" s="15">
        <v>24930.7584950606</v>
      </c>
      <c r="W12" s="53" t="s">
        <v>36</v>
      </c>
      <c r="X12" s="54" t="str">
        <f t="shared" si="1"/>
        <v/>
      </c>
      <c r="Y12" s="54" t="str">
        <f t="shared" si="2"/>
        <v/>
      </c>
      <c r="Z12" s="54">
        <f t="shared" si="3"/>
        <v>0.45041102070973132</v>
      </c>
      <c r="AA12" s="54">
        <f t="shared" si="4"/>
        <v>0.4492274975631998</v>
      </c>
      <c r="AB12" s="54">
        <f t="shared" si="5"/>
        <v>0.44846934639340119</v>
      </c>
      <c r="AC12" s="54">
        <f t="shared" si="6"/>
        <v>0.44464211919623026</v>
      </c>
      <c r="AD12" s="54">
        <f t="shared" si="7"/>
        <v>0.44490635898465425</v>
      </c>
    </row>
    <row r="13" spans="1:30" x14ac:dyDescent="0.3">
      <c r="A13" s="16" t="s">
        <v>37</v>
      </c>
      <c r="B13" s="17" t="s">
        <v>28</v>
      </c>
      <c r="C13" s="18"/>
      <c r="D13" s="15">
        <v>0</v>
      </c>
      <c r="E13" s="15">
        <v>1826</v>
      </c>
      <c r="F13" s="15">
        <v>6200</v>
      </c>
      <c r="G13" s="15">
        <v>9906.4</v>
      </c>
      <c r="H13" s="15">
        <v>14363.650000000001</v>
      </c>
      <c r="I13" s="15">
        <v>16392.509999999998</v>
      </c>
      <c r="J13" s="15">
        <v>16392.589999999997</v>
      </c>
      <c r="L13" s="16" t="s">
        <v>37</v>
      </c>
      <c r="M13" s="17" t="s">
        <v>45</v>
      </c>
      <c r="N13" s="18"/>
      <c r="O13" s="15">
        <v>0</v>
      </c>
      <c r="P13" s="15">
        <v>7611.0293421366696</v>
      </c>
      <c r="Q13" s="15">
        <v>25656.99376878592</v>
      </c>
      <c r="R13" s="15">
        <v>41015.964262560832</v>
      </c>
      <c r="S13" s="15">
        <v>59777.950980425201</v>
      </c>
      <c r="T13" s="15">
        <v>68286.810190335993</v>
      </c>
      <c r="U13" s="15">
        <v>68521.521504034172</v>
      </c>
      <c r="W13" s="53" t="s">
        <v>37</v>
      </c>
      <c r="X13" s="54" t="str">
        <f t="shared" si="1"/>
        <v/>
      </c>
      <c r="Y13" s="54">
        <f t="shared" si="2"/>
        <v>0.4758154249711592</v>
      </c>
      <c r="Z13" s="54">
        <f t="shared" si="3"/>
        <v>0.47240009148596845</v>
      </c>
      <c r="AA13" s="54">
        <f t="shared" si="4"/>
        <v>0.47264270584728807</v>
      </c>
      <c r="AB13" s="54">
        <f t="shared" si="5"/>
        <v>0.47508585957593324</v>
      </c>
      <c r="AC13" s="54">
        <f t="shared" si="6"/>
        <v>0.47554022946658769</v>
      </c>
      <c r="AD13" s="54">
        <f t="shared" si="7"/>
        <v>0.47717239898602437</v>
      </c>
    </row>
    <row r="14" spans="1:30" x14ac:dyDescent="0.3">
      <c r="A14" s="16" t="s">
        <v>38</v>
      </c>
      <c r="B14" s="17" t="s">
        <v>28</v>
      </c>
      <c r="C14" s="18"/>
      <c r="D14" s="15">
        <v>2591.84</v>
      </c>
      <c r="E14" s="15">
        <v>8201.4700000000012</v>
      </c>
      <c r="F14" s="15">
        <v>18851.97</v>
      </c>
      <c r="G14" s="15">
        <v>28993.940000000002</v>
      </c>
      <c r="H14" s="15">
        <v>43431.95</v>
      </c>
      <c r="I14" s="15">
        <v>53088.549999999996</v>
      </c>
      <c r="J14" s="15">
        <v>64621.08</v>
      </c>
      <c r="L14" s="16" t="s">
        <v>38</v>
      </c>
      <c r="M14" s="17" t="s">
        <v>45</v>
      </c>
      <c r="N14" s="18"/>
      <c r="O14" s="15">
        <v>3908.3566481261523</v>
      </c>
      <c r="P14" s="15">
        <v>13086.9008853749</v>
      </c>
      <c r="Q14" s="15">
        <v>32964.639999354833</v>
      </c>
      <c r="R14" s="15">
        <v>52780.975238022394</v>
      </c>
      <c r="S14" s="15">
        <v>80619.969541079321</v>
      </c>
      <c r="T14" s="15">
        <v>100947.77567825445</v>
      </c>
      <c r="U14" s="15">
        <v>125291.56103931893</v>
      </c>
      <c r="W14" s="53" t="s">
        <v>38</v>
      </c>
      <c r="X14" s="54">
        <f t="shared" si="1"/>
        <v>0.17214003747052181</v>
      </c>
      <c r="Y14" s="54">
        <f t="shared" si="2"/>
        <v>0.18215496212685989</v>
      </c>
      <c r="Z14" s="54">
        <f t="shared" si="3"/>
        <v>0.19961238840912746</v>
      </c>
      <c r="AA14" s="54">
        <f t="shared" si="4"/>
        <v>0.20780982107959492</v>
      </c>
      <c r="AB14" s="54">
        <f t="shared" si="5"/>
        <v>0.21189914037905791</v>
      </c>
      <c r="AC14" s="54">
        <f t="shared" si="6"/>
        <v>0.21706599040155067</v>
      </c>
      <c r="AD14" s="54">
        <f t="shared" si="7"/>
        <v>0.22133164002150088</v>
      </c>
    </row>
    <row r="15" spans="1:30" x14ac:dyDescent="0.3">
      <c r="A15" s="16" t="s">
        <v>39</v>
      </c>
      <c r="B15" s="17" t="s">
        <v>28</v>
      </c>
      <c r="C15" s="18"/>
      <c r="D15" s="15">
        <v>750</v>
      </c>
      <c r="E15" s="15">
        <v>1500.01</v>
      </c>
      <c r="F15" s="15">
        <v>3000.0599999999995</v>
      </c>
      <c r="G15" s="15">
        <v>5791.0199999999995</v>
      </c>
      <c r="H15" s="15">
        <v>10713.169999999998</v>
      </c>
      <c r="I15" s="15">
        <v>17046.02</v>
      </c>
      <c r="J15" s="15">
        <v>21464.920000000002</v>
      </c>
      <c r="L15" s="16" t="s">
        <v>39</v>
      </c>
      <c r="M15" s="17" t="s">
        <v>45</v>
      </c>
      <c r="N15" s="18"/>
      <c r="O15" s="15">
        <v>-16.364502705826744</v>
      </c>
      <c r="P15" s="15">
        <v>46.679415226597726</v>
      </c>
      <c r="Q15" s="15">
        <v>-774.28839014478206</v>
      </c>
      <c r="R15" s="15">
        <v>-1543.0934207814203</v>
      </c>
      <c r="S15" s="15">
        <v>-2195.5460029484348</v>
      </c>
      <c r="T15" s="15">
        <v>-3406.1497828434981</v>
      </c>
      <c r="U15" s="15">
        <v>-4318.6474024456629</v>
      </c>
      <c r="W15" s="53" t="s">
        <v>39</v>
      </c>
      <c r="X15" s="54">
        <f t="shared" si="1"/>
        <v>-2.4907918882536902E-3</v>
      </c>
      <c r="Y15" s="54">
        <f t="shared" si="2"/>
        <v>3.5524432292671879E-3</v>
      </c>
      <c r="Z15" s="54">
        <f t="shared" si="3"/>
        <v>-2.9462439295536092E-2</v>
      </c>
      <c r="AA15" s="54">
        <f t="shared" si="4"/>
        <v>-3.0418167608500819E-2</v>
      </c>
      <c r="AB15" s="54">
        <f t="shared" si="5"/>
        <v>-2.3394859351565447E-2</v>
      </c>
      <c r="AC15" s="54">
        <f t="shared" si="6"/>
        <v>-2.2810596484472277E-2</v>
      </c>
      <c r="AD15" s="54">
        <f t="shared" si="7"/>
        <v>-2.2967533949252921E-2</v>
      </c>
    </row>
    <row r="16" spans="1:30" x14ac:dyDescent="0.3">
      <c r="A16" s="19" t="s">
        <v>40</v>
      </c>
      <c r="B16" s="20" t="s">
        <v>28</v>
      </c>
      <c r="C16" s="21"/>
      <c r="D16" s="15">
        <v>1435.3999999999999</v>
      </c>
      <c r="E16" s="15">
        <v>1435.3999999999999</v>
      </c>
      <c r="F16" s="15">
        <v>1435.3999999999999</v>
      </c>
      <c r="G16" s="15">
        <v>1435.3999999999999</v>
      </c>
      <c r="H16" s="15">
        <v>1435.3999999999999</v>
      </c>
      <c r="I16" s="15">
        <v>1435.3999999999999</v>
      </c>
      <c r="J16" s="15">
        <v>1435.3999999999999</v>
      </c>
      <c r="L16" s="19" t="s">
        <v>40</v>
      </c>
      <c r="M16" s="20" t="s">
        <v>45</v>
      </c>
      <c r="N16" s="21"/>
      <c r="O16" s="15">
        <v>-73.594298499965504</v>
      </c>
      <c r="P16" s="15">
        <v>-50.000414385726799</v>
      </c>
      <c r="Q16" s="15">
        <v>-232.76928728646618</v>
      </c>
      <c r="R16" s="15">
        <v>-123.3772413439124</v>
      </c>
      <c r="S16" s="15">
        <v>-347.82185913417999</v>
      </c>
      <c r="T16" s="15">
        <v>-379.57443817514195</v>
      </c>
      <c r="U16" s="15">
        <v>-476.33678355745235</v>
      </c>
      <c r="W16" s="53" t="s">
        <v>40</v>
      </c>
      <c r="X16" s="54">
        <f t="shared" si="1"/>
        <v>-5.852846334018353E-3</v>
      </c>
      <c r="Y16" s="54">
        <f t="shared" si="2"/>
        <v>-3.9764594269084148E-3</v>
      </c>
      <c r="Z16" s="54">
        <f t="shared" si="3"/>
        <v>-1.8511799113993824E-2</v>
      </c>
      <c r="AA16" s="54">
        <f t="shared" si="4"/>
        <v>-9.812010569016481E-3</v>
      </c>
      <c r="AB16" s="54">
        <f t="shared" si="5"/>
        <v>-2.7661760960000014E-2</v>
      </c>
      <c r="AC16" s="54">
        <f t="shared" si="6"/>
        <v>-3.0186996876687355E-2</v>
      </c>
      <c r="AD16" s="54">
        <f t="shared" si="7"/>
        <v>-3.7882363908987263E-2</v>
      </c>
    </row>
    <row r="17" spans="1:30" x14ac:dyDescent="0.3">
      <c r="L17" s="36" t="s">
        <v>46</v>
      </c>
      <c r="M17" s="17" t="s">
        <v>45</v>
      </c>
      <c r="N17" s="18"/>
      <c r="O17" s="37">
        <v>4694.4528757499702</v>
      </c>
      <c r="P17" s="37">
        <v>3826.7322772185998</v>
      </c>
      <c r="Q17" s="37">
        <v>2308.6485926184905</v>
      </c>
      <c r="R17" s="37">
        <v>4572.8033436026635</v>
      </c>
      <c r="S17" s="37">
        <v>13545.205866205752</v>
      </c>
      <c r="T17" s="37">
        <v>14265.54860507611</v>
      </c>
      <c r="U17" s="37">
        <v>14817.576134633489</v>
      </c>
    </row>
    <row r="18" spans="1:30" x14ac:dyDescent="0.3">
      <c r="L18" s="38" t="s">
        <v>47</v>
      </c>
      <c r="M18" s="20" t="s">
        <v>45</v>
      </c>
      <c r="N18" s="21"/>
      <c r="O18" s="37">
        <v>-3319.6928015820031</v>
      </c>
      <c r="P18" s="37">
        <v>-6628.3233751572388</v>
      </c>
      <c r="Q18" s="37">
        <v>-10716.401140780275</v>
      </c>
      <c r="R18" s="37">
        <v>-13457.740649313588</v>
      </c>
      <c r="S18" s="37">
        <v>-13545.199174597175</v>
      </c>
      <c r="T18" s="37">
        <v>-14265.570790737347</v>
      </c>
      <c r="U18" s="37">
        <v>-14817.627876298377</v>
      </c>
    </row>
    <row r="19" spans="1:30" x14ac:dyDescent="0.3">
      <c r="L19" s="38" t="s">
        <v>19</v>
      </c>
      <c r="M19" s="20" t="s">
        <v>45</v>
      </c>
      <c r="N19" s="21"/>
      <c r="O19" s="37">
        <v>158963.40286449317</v>
      </c>
      <c r="P19" s="37">
        <v>150985.13336818916</v>
      </c>
      <c r="Q19" s="37">
        <v>169743.74209460613</v>
      </c>
      <c r="R19" s="37">
        <v>216201.10098016527</v>
      </c>
      <c r="S19" s="37">
        <v>260708.05747607377</v>
      </c>
      <c r="T19" s="37">
        <v>293785.65929368202</v>
      </c>
      <c r="U19" s="37">
        <v>312488.38071354787</v>
      </c>
    </row>
    <row r="21" spans="1:30" x14ac:dyDescent="0.3">
      <c r="A21" s="8" t="s">
        <v>41</v>
      </c>
      <c r="B21" s="9" t="s">
        <v>27</v>
      </c>
      <c r="C21" s="10"/>
      <c r="D21" s="11">
        <v>2020</v>
      </c>
      <c r="E21" s="11">
        <v>2025</v>
      </c>
      <c r="F21" s="11">
        <v>2030</v>
      </c>
      <c r="G21" s="11">
        <v>2035</v>
      </c>
      <c r="H21" s="11">
        <v>2040</v>
      </c>
      <c r="I21" s="11">
        <v>2045</v>
      </c>
      <c r="J21" s="11">
        <v>2050</v>
      </c>
      <c r="L21" s="8" t="s">
        <v>41</v>
      </c>
      <c r="M21" s="9" t="s">
        <v>27</v>
      </c>
      <c r="N21" s="10"/>
      <c r="O21" s="11">
        <v>2020</v>
      </c>
      <c r="P21" s="11">
        <v>2025</v>
      </c>
      <c r="Q21" s="11">
        <v>2030</v>
      </c>
      <c r="R21" s="11">
        <v>2035</v>
      </c>
      <c r="S21" s="11">
        <v>2040</v>
      </c>
      <c r="T21" s="11">
        <v>2045</v>
      </c>
      <c r="U21" s="11">
        <v>2050</v>
      </c>
      <c r="W21" s="52" t="s">
        <v>41</v>
      </c>
      <c r="X21" s="52">
        <v>2020</v>
      </c>
      <c r="Y21" s="52">
        <v>2025</v>
      </c>
      <c r="Z21" s="52">
        <v>2030</v>
      </c>
      <c r="AA21" s="52">
        <v>2035</v>
      </c>
      <c r="AB21" s="52">
        <v>2040</v>
      </c>
      <c r="AC21" s="52">
        <v>2045</v>
      </c>
      <c r="AD21" s="52">
        <v>2050</v>
      </c>
    </row>
    <row r="22" spans="1:30" x14ac:dyDescent="0.3">
      <c r="A22" s="12" t="s">
        <v>2</v>
      </c>
      <c r="B22" s="13" t="s">
        <v>28</v>
      </c>
      <c r="C22" s="14"/>
      <c r="D22" s="15">
        <v>4860.2</v>
      </c>
      <c r="E22" s="15">
        <v>3355.2</v>
      </c>
      <c r="F22" s="15">
        <v>3355.2</v>
      </c>
      <c r="G22" s="15">
        <v>3355.2</v>
      </c>
      <c r="H22" s="15">
        <v>3355.2</v>
      </c>
      <c r="I22" s="15">
        <v>3355.2</v>
      </c>
      <c r="J22" s="15">
        <v>2135.4</v>
      </c>
      <c r="L22" s="12" t="s">
        <v>2</v>
      </c>
      <c r="M22" s="13" t="s">
        <v>45</v>
      </c>
      <c r="N22" s="14"/>
      <c r="O22" s="15">
        <v>38317.816801679503</v>
      </c>
      <c r="P22" s="15">
        <v>26452.396801159401</v>
      </c>
      <c r="Q22" s="15">
        <v>26452.396801159401</v>
      </c>
      <c r="R22" s="15">
        <v>26452.396801159401</v>
      </c>
      <c r="S22" s="15">
        <v>26452.396801159401</v>
      </c>
      <c r="T22" s="15">
        <v>26452.396801159401</v>
      </c>
      <c r="U22" s="15">
        <v>16835.4936007379</v>
      </c>
      <c r="W22" s="53" t="s">
        <v>2</v>
      </c>
      <c r="X22" s="54">
        <f>IF(D22&gt;0,O22/(D22*8.76),"")</f>
        <v>0.9000000000394478</v>
      </c>
      <c r="Y22" s="54">
        <f t="shared" ref="Y22:Y34" si="8">IF(E22&gt;0,P22/(E22*8.76),"")</f>
        <v>0.9000000000394468</v>
      </c>
      <c r="Z22" s="54">
        <f t="shared" ref="Z22:Z34" si="9">IF(F22&gt;0,Q22/(F22*8.76),"")</f>
        <v>0.9000000000394468</v>
      </c>
      <c r="AA22" s="54">
        <f t="shared" ref="AA22:AA34" si="10">IF(G22&gt;0,R22/(G22*8.76),"")</f>
        <v>0.9000000000394468</v>
      </c>
      <c r="AB22" s="54">
        <f t="shared" ref="AB22:AB34" si="11">IF(H22&gt;0,S22/(H22*8.76),"")</f>
        <v>0.9000000000394468</v>
      </c>
      <c r="AC22" s="54">
        <f t="shared" ref="AC22:AC34" si="12">IF(I22&gt;0,T22/(I22*8.76),"")</f>
        <v>0.9000000000394468</v>
      </c>
      <c r="AD22" s="54">
        <f t="shared" ref="AD22:AD34" si="13">IF(J22&gt;0,U22/(J22*8.76),"")</f>
        <v>0.90000000003944702</v>
      </c>
    </row>
    <row r="23" spans="1:30" x14ac:dyDescent="0.3">
      <c r="A23" s="16" t="s">
        <v>29</v>
      </c>
      <c r="B23" s="17" t="s">
        <v>28</v>
      </c>
      <c r="C23" s="18"/>
      <c r="D23" s="15">
        <v>26388.100000000002</v>
      </c>
      <c r="E23" s="15">
        <v>25775.200000000001</v>
      </c>
      <c r="F23" s="15">
        <v>22397.679999999997</v>
      </c>
      <c r="G23" s="15">
        <v>14292.330000000002</v>
      </c>
      <c r="H23" s="15">
        <v>0</v>
      </c>
      <c r="I23" s="15">
        <v>0</v>
      </c>
      <c r="J23" s="15">
        <v>0</v>
      </c>
      <c r="L23" s="16" t="s">
        <v>29</v>
      </c>
      <c r="M23" s="17" t="s">
        <v>45</v>
      </c>
      <c r="N23" s="18"/>
      <c r="O23" s="15">
        <v>70460.574495085908</v>
      </c>
      <c r="P23" s="15">
        <v>57868.726076256477</v>
      </c>
      <c r="Q23" s="15">
        <v>25668.425778305529</v>
      </c>
      <c r="R23" s="15">
        <v>21230.791468046962</v>
      </c>
      <c r="S23" s="15">
        <v>0</v>
      </c>
      <c r="T23" s="15">
        <v>0</v>
      </c>
      <c r="U23" s="15">
        <v>0</v>
      </c>
      <c r="W23" s="53" t="s">
        <v>29</v>
      </c>
      <c r="X23" s="54">
        <f t="shared" ref="X23:X34" si="14">IF(D23&gt;0,O23/(D23*8.76),"")</f>
        <v>0.30481332786614423</v>
      </c>
      <c r="Y23" s="54">
        <f t="shared" si="8"/>
        <v>0.25629360619808056</v>
      </c>
      <c r="Z23" s="54">
        <f t="shared" si="9"/>
        <v>0.13082540652115615</v>
      </c>
      <c r="AA23" s="54">
        <f t="shared" si="10"/>
        <v>0.16957391355844925</v>
      </c>
      <c r="AB23" s="54" t="str">
        <f t="shared" si="11"/>
        <v/>
      </c>
      <c r="AC23" s="54" t="str">
        <f t="shared" si="12"/>
        <v/>
      </c>
      <c r="AD23" s="54" t="str">
        <f t="shared" si="13"/>
        <v/>
      </c>
    </row>
    <row r="24" spans="1:30" x14ac:dyDescent="0.3">
      <c r="A24" s="16" t="s">
        <v>30</v>
      </c>
      <c r="B24" s="17" t="s">
        <v>28</v>
      </c>
      <c r="C24" s="18"/>
      <c r="D24" s="15">
        <v>0</v>
      </c>
      <c r="E24" s="15">
        <v>0</v>
      </c>
      <c r="F24" s="15">
        <v>0</v>
      </c>
      <c r="G24" s="15">
        <v>5489.27</v>
      </c>
      <c r="H24" s="15">
        <v>23521.589999999997</v>
      </c>
      <c r="I24" s="15">
        <v>25230.200000000004</v>
      </c>
      <c r="J24" s="15">
        <v>25359.33</v>
      </c>
      <c r="L24" s="16" t="s">
        <v>30</v>
      </c>
      <c r="M24" s="17" t="s">
        <v>45</v>
      </c>
      <c r="N24" s="18"/>
      <c r="O24" s="15">
        <v>0</v>
      </c>
      <c r="P24" s="15">
        <v>0</v>
      </c>
      <c r="Q24" s="15">
        <v>0</v>
      </c>
      <c r="R24" s="15">
        <v>0</v>
      </c>
      <c r="S24" s="15">
        <v>4439.5271773271261</v>
      </c>
      <c r="T24" s="15">
        <v>5418.7916814736864</v>
      </c>
      <c r="U24" s="15">
        <v>6398.9417049758113</v>
      </c>
      <c r="W24" s="53" t="s">
        <v>30</v>
      </c>
      <c r="X24" s="54" t="str">
        <f t="shared" si="14"/>
        <v/>
      </c>
      <c r="Y24" s="54" t="str">
        <f t="shared" si="8"/>
        <v/>
      </c>
      <c r="Z24" s="54" t="str">
        <f t="shared" si="9"/>
        <v/>
      </c>
      <c r="AA24" s="54">
        <f t="shared" si="10"/>
        <v>0</v>
      </c>
      <c r="AB24" s="54">
        <f t="shared" si="11"/>
        <v>2.1545964361997887E-2</v>
      </c>
      <c r="AC24" s="54">
        <f t="shared" si="12"/>
        <v>2.4517583106054817E-2</v>
      </c>
      <c r="AD24" s="54">
        <f t="shared" si="13"/>
        <v>2.880489340103496E-2</v>
      </c>
    </row>
    <row r="25" spans="1:30" x14ac:dyDescent="0.3">
      <c r="A25" s="16" t="s">
        <v>31</v>
      </c>
      <c r="B25" s="17" t="s">
        <v>28</v>
      </c>
      <c r="C25" s="18"/>
      <c r="D25" s="15">
        <v>327</v>
      </c>
      <c r="E25" s="15">
        <v>327</v>
      </c>
      <c r="F25" s="15">
        <v>327</v>
      </c>
      <c r="G25" s="15">
        <v>327</v>
      </c>
      <c r="H25" s="15">
        <v>327</v>
      </c>
      <c r="I25" s="15">
        <v>275</v>
      </c>
      <c r="J25" s="15">
        <v>177.9</v>
      </c>
      <c r="L25" s="16" t="s">
        <v>31</v>
      </c>
      <c r="M25" s="17" t="s">
        <v>45</v>
      </c>
      <c r="N25" s="18"/>
      <c r="O25" s="15">
        <v>2721.2064001192771</v>
      </c>
      <c r="P25" s="15">
        <v>2721.2064001192771</v>
      </c>
      <c r="Q25" s="15">
        <v>2721.2064001192771</v>
      </c>
      <c r="R25" s="15">
        <v>2721.2064001192771</v>
      </c>
      <c r="S25" s="15">
        <v>2721.2064001192771</v>
      </c>
      <c r="T25" s="15">
        <v>2288.4624001003108</v>
      </c>
      <c r="U25" s="15">
        <v>1480.440000064895</v>
      </c>
      <c r="W25" s="53" t="s">
        <v>31</v>
      </c>
      <c r="X25" s="54">
        <f t="shared" si="14"/>
        <v>0.94996941900188414</v>
      </c>
      <c r="Y25" s="54">
        <f t="shared" si="8"/>
        <v>0.94996941900188414</v>
      </c>
      <c r="Z25" s="54">
        <f t="shared" si="9"/>
        <v>0.94996941900188414</v>
      </c>
      <c r="AA25" s="54">
        <f t="shared" si="10"/>
        <v>0.94996941900188414</v>
      </c>
      <c r="AB25" s="54">
        <f t="shared" si="11"/>
        <v>0.94996941900188414</v>
      </c>
      <c r="AC25" s="54">
        <f t="shared" si="12"/>
        <v>0.94996363640527637</v>
      </c>
      <c r="AD25" s="54">
        <f t="shared" si="13"/>
        <v>0.94997189436429519</v>
      </c>
    </row>
    <row r="26" spans="1:30" x14ac:dyDescent="0.3">
      <c r="A26" s="16" t="s">
        <v>32</v>
      </c>
      <c r="B26" s="17" t="s">
        <v>28</v>
      </c>
      <c r="C26" s="18"/>
      <c r="D26" s="15">
        <v>4268.8600000000006</v>
      </c>
      <c r="E26" s="15">
        <v>4268.8600000000006</v>
      </c>
      <c r="F26" s="15">
        <v>4609.8600000000006</v>
      </c>
      <c r="G26" s="15">
        <v>4613.1900000000005</v>
      </c>
      <c r="H26" s="15">
        <v>4613.1900000000005</v>
      </c>
      <c r="I26" s="15">
        <v>4613.1900000000005</v>
      </c>
      <c r="J26" s="15">
        <v>4613.1900000000005</v>
      </c>
      <c r="L26" s="16" t="s">
        <v>32</v>
      </c>
      <c r="M26" s="17" t="s">
        <v>45</v>
      </c>
      <c r="N26" s="18"/>
      <c r="O26" s="15">
        <v>27121.229240618235</v>
      </c>
      <c r="P26" s="15">
        <v>26994.79700518991</v>
      </c>
      <c r="Q26" s="15">
        <v>30870.341190035961</v>
      </c>
      <c r="R26" s="15">
        <v>30993.342435532286</v>
      </c>
      <c r="S26" s="15">
        <v>29982.217392021201</v>
      </c>
      <c r="T26" s="15">
        <v>29995.662379740901</v>
      </c>
      <c r="U26" s="15">
        <v>29997.188821223073</v>
      </c>
      <c r="W26" s="53" t="s">
        <v>32</v>
      </c>
      <c r="X26" s="54">
        <f t="shared" si="14"/>
        <v>0.72525937492220216</v>
      </c>
      <c r="Y26" s="54">
        <f t="shared" si="8"/>
        <v>0.72187840117564961</v>
      </c>
      <c r="Z26" s="54">
        <f t="shared" si="9"/>
        <v>0.76445088383898152</v>
      </c>
      <c r="AA26" s="54">
        <f t="shared" si="10"/>
        <v>0.76694278567419172</v>
      </c>
      <c r="AB26" s="54">
        <f t="shared" si="11"/>
        <v>0.74192208778888435</v>
      </c>
      <c r="AC26" s="54">
        <f t="shared" si="12"/>
        <v>0.7422547894442979</v>
      </c>
      <c r="AD26" s="54">
        <f t="shared" si="13"/>
        <v>0.74229256185574211</v>
      </c>
    </row>
    <row r="27" spans="1:30" x14ac:dyDescent="0.3">
      <c r="A27" s="16" t="s">
        <v>33</v>
      </c>
      <c r="B27" s="17" t="s">
        <v>28</v>
      </c>
      <c r="C27" s="18"/>
      <c r="D27" s="15">
        <v>1485</v>
      </c>
      <c r="E27" s="15">
        <v>1485</v>
      </c>
      <c r="F27" s="15">
        <v>1485</v>
      </c>
      <c r="G27" s="15">
        <v>1485</v>
      </c>
      <c r="H27" s="15">
        <v>1485</v>
      </c>
      <c r="I27" s="15">
        <v>1485</v>
      </c>
      <c r="J27" s="15">
        <v>1485</v>
      </c>
      <c r="L27" s="16" t="s">
        <v>33</v>
      </c>
      <c r="M27" s="17" t="s">
        <v>45</v>
      </c>
      <c r="N27" s="18"/>
      <c r="O27" s="15">
        <v>10360.5424283063</v>
      </c>
      <c r="P27" s="15">
        <v>10360.540082972919</v>
      </c>
      <c r="Q27" s="15">
        <v>10360.533627988132</v>
      </c>
      <c r="R27" s="15">
        <v>10360.533637234388</v>
      </c>
      <c r="S27" s="15">
        <v>10360.529345874274</v>
      </c>
      <c r="T27" s="15">
        <v>10360.536695743731</v>
      </c>
      <c r="U27" s="15">
        <v>10360.530222271429</v>
      </c>
      <c r="W27" s="53" t="s">
        <v>33</v>
      </c>
      <c r="X27" s="54">
        <f t="shared" si="14"/>
        <v>0.79643792785590306</v>
      </c>
      <c r="Y27" s="54">
        <f t="shared" si="8"/>
        <v>0.79643774756491237</v>
      </c>
      <c r="Z27" s="54">
        <f t="shared" si="9"/>
        <v>0.79643725135588239</v>
      </c>
      <c r="AA27" s="54">
        <f t="shared" si="10"/>
        <v>0.7964372520666626</v>
      </c>
      <c r="AB27" s="54">
        <f t="shared" si="11"/>
        <v>0.79643692218027107</v>
      </c>
      <c r="AC27" s="54">
        <f t="shared" si="12"/>
        <v>0.79643748718107488</v>
      </c>
      <c r="AD27" s="54">
        <f t="shared" si="13"/>
        <v>0.79643698955086861</v>
      </c>
    </row>
    <row r="28" spans="1:30" x14ac:dyDescent="0.3">
      <c r="A28" s="16" t="s">
        <v>34</v>
      </c>
      <c r="B28" s="17" t="s">
        <v>28</v>
      </c>
      <c r="C28" s="18"/>
      <c r="D28" s="15">
        <v>0</v>
      </c>
      <c r="E28" s="15">
        <v>0</v>
      </c>
      <c r="F28" s="15">
        <v>1250</v>
      </c>
      <c r="G28" s="15">
        <v>1250</v>
      </c>
      <c r="H28" s="15">
        <v>1250</v>
      </c>
      <c r="I28" s="15">
        <v>1250</v>
      </c>
      <c r="J28" s="15">
        <v>1250</v>
      </c>
      <c r="L28" s="16" t="s">
        <v>34</v>
      </c>
      <c r="M28" s="17" t="s">
        <v>45</v>
      </c>
      <c r="N28" s="18"/>
      <c r="O28" s="15">
        <v>0</v>
      </c>
      <c r="P28" s="15">
        <v>0</v>
      </c>
      <c r="Q28" s="15">
        <v>8760.00065894822</v>
      </c>
      <c r="R28" s="15">
        <v>8760.0012470569</v>
      </c>
      <c r="S28" s="15">
        <v>8760.001901746391</v>
      </c>
      <c r="T28" s="15">
        <v>8760.008682117199</v>
      </c>
      <c r="U28" s="15">
        <v>8760.0023562109091</v>
      </c>
      <c r="W28" s="53" t="s">
        <v>34</v>
      </c>
      <c r="X28" s="54" t="str">
        <f t="shared" si="14"/>
        <v/>
      </c>
      <c r="Y28" s="54" t="str">
        <f t="shared" si="8"/>
        <v/>
      </c>
      <c r="Z28" s="54">
        <f t="shared" si="9"/>
        <v>0.80000006017791958</v>
      </c>
      <c r="AA28" s="54">
        <f t="shared" si="10"/>
        <v>0.80000011388647485</v>
      </c>
      <c r="AB28" s="54">
        <f t="shared" si="11"/>
        <v>0.80000017367546949</v>
      </c>
      <c r="AC28" s="54">
        <f t="shared" si="12"/>
        <v>0.80000079288741544</v>
      </c>
      <c r="AD28" s="54">
        <f t="shared" si="13"/>
        <v>0.80000021517907849</v>
      </c>
    </row>
    <row r="29" spans="1:30" x14ac:dyDescent="0.3">
      <c r="A29" s="16" t="s">
        <v>35</v>
      </c>
      <c r="B29" s="17" t="s">
        <v>28</v>
      </c>
      <c r="C29" s="18"/>
      <c r="D29" s="15">
        <v>1916.9</v>
      </c>
      <c r="E29" s="15">
        <v>3292.48</v>
      </c>
      <c r="F29" s="15">
        <v>4600.0600000000013</v>
      </c>
      <c r="G29" s="15">
        <v>5219.9500000000007</v>
      </c>
      <c r="H29" s="15">
        <v>6125.8499999999985</v>
      </c>
      <c r="I29" s="15">
        <v>8250.119999999999</v>
      </c>
      <c r="J29" s="15">
        <v>10153.699999999999</v>
      </c>
      <c r="L29" s="16" t="s">
        <v>35</v>
      </c>
      <c r="M29" s="17" t="s">
        <v>45</v>
      </c>
      <c r="N29" s="18"/>
      <c r="O29" s="15">
        <v>4796.19192832723</v>
      </c>
      <c r="P29" s="15">
        <v>8238.0056622925895</v>
      </c>
      <c r="Q29" s="15">
        <v>12296.277378361969</v>
      </c>
      <c r="R29" s="15">
        <v>14129.971853804687</v>
      </c>
      <c r="S29" s="15">
        <v>16799.354133481531</v>
      </c>
      <c r="T29" s="15">
        <v>23199.945997719566</v>
      </c>
      <c r="U29" s="15">
        <v>28946.757869957659</v>
      </c>
      <c r="W29" s="53" t="s">
        <v>35</v>
      </c>
      <c r="X29" s="54">
        <f t="shared" si="14"/>
        <v>0.28562287761556782</v>
      </c>
      <c r="Y29" s="54">
        <f t="shared" si="8"/>
        <v>0.28562409043776799</v>
      </c>
      <c r="Z29" s="54">
        <f t="shared" si="9"/>
        <v>0.30514485294389665</v>
      </c>
      <c r="AA29" s="54">
        <f t="shared" si="10"/>
        <v>0.30900880000654074</v>
      </c>
      <c r="AB29" s="54">
        <f t="shared" si="11"/>
        <v>0.31305606407657105</v>
      </c>
      <c r="AC29" s="54">
        <f t="shared" si="12"/>
        <v>0.32101298670081568</v>
      </c>
      <c r="AD29" s="54">
        <f t="shared" si="13"/>
        <v>0.32544042214943603</v>
      </c>
    </row>
    <row r="30" spans="1:30" x14ac:dyDescent="0.3">
      <c r="A30" s="16" t="s">
        <v>36</v>
      </c>
      <c r="B30" s="17" t="s">
        <v>28</v>
      </c>
      <c r="C30" s="18"/>
      <c r="D30" s="15">
        <v>0</v>
      </c>
      <c r="E30" s="15">
        <v>0</v>
      </c>
      <c r="F30" s="15">
        <v>2421.0700000000002</v>
      </c>
      <c r="G30" s="15">
        <v>5448.1900000000005</v>
      </c>
      <c r="H30" s="15">
        <v>6396.7800000000007</v>
      </c>
      <c r="I30" s="15">
        <v>6592.9400000000005</v>
      </c>
      <c r="J30" s="15">
        <v>6592.9400000000005</v>
      </c>
      <c r="L30" s="16" t="s">
        <v>36</v>
      </c>
      <c r="M30" s="17" t="s">
        <v>45</v>
      </c>
      <c r="N30" s="18"/>
      <c r="O30" s="15">
        <v>0</v>
      </c>
      <c r="P30" s="15">
        <v>0</v>
      </c>
      <c r="Q30" s="15">
        <v>9544.3170417288802</v>
      </c>
      <c r="R30" s="15">
        <v>21388.884086597332</v>
      </c>
      <c r="S30" s="15">
        <v>25002.263035202202</v>
      </c>
      <c r="T30" s="15">
        <v>25563.203837768975</v>
      </c>
      <c r="U30" s="15">
        <v>25546.196747948688</v>
      </c>
      <c r="W30" s="53" t="s">
        <v>36</v>
      </c>
      <c r="X30" s="54" t="str">
        <f t="shared" si="14"/>
        <v/>
      </c>
      <c r="Y30" s="54" t="str">
        <f t="shared" si="8"/>
        <v/>
      </c>
      <c r="Z30" s="54">
        <f t="shared" si="9"/>
        <v>0.45002164698796804</v>
      </c>
      <c r="AA30" s="54">
        <f t="shared" si="10"/>
        <v>0.44815864251119625</v>
      </c>
      <c r="AB30" s="54">
        <f t="shared" si="11"/>
        <v>0.44618380120789869</v>
      </c>
      <c r="AC30" s="54">
        <f t="shared" si="12"/>
        <v>0.44262103918482748</v>
      </c>
      <c r="AD30" s="54">
        <f t="shared" si="13"/>
        <v>0.44232656530676673</v>
      </c>
    </row>
    <row r="31" spans="1:30" x14ac:dyDescent="0.3">
      <c r="A31" s="16" t="s">
        <v>37</v>
      </c>
      <c r="B31" s="17" t="s">
        <v>28</v>
      </c>
      <c r="C31" s="18"/>
      <c r="D31" s="15">
        <v>0</v>
      </c>
      <c r="E31" s="15">
        <v>1826</v>
      </c>
      <c r="F31" s="15">
        <v>6600</v>
      </c>
      <c r="G31" s="15">
        <v>10422.76</v>
      </c>
      <c r="H31" s="15">
        <v>16756.489999999998</v>
      </c>
      <c r="I31" s="15">
        <v>19277.82</v>
      </c>
      <c r="J31" s="15">
        <v>19277.830000000002</v>
      </c>
      <c r="L31" s="16" t="s">
        <v>37</v>
      </c>
      <c r="M31" s="17" t="s">
        <v>45</v>
      </c>
      <c r="N31" s="18"/>
      <c r="O31" s="15">
        <v>0</v>
      </c>
      <c r="P31" s="15">
        <v>7611.0392303809203</v>
      </c>
      <c r="Q31" s="15">
        <v>27293.3506792673</v>
      </c>
      <c r="R31" s="15">
        <v>43152.868559441173</v>
      </c>
      <c r="S31" s="15">
        <v>69388.445790199359</v>
      </c>
      <c r="T31" s="15">
        <v>79539.796831110711</v>
      </c>
      <c r="U31" s="15">
        <v>80046.08935985135</v>
      </c>
      <c r="W31" s="53" t="s">
        <v>37</v>
      </c>
      <c r="X31" s="54" t="str">
        <f t="shared" si="14"/>
        <v/>
      </c>
      <c r="Y31" s="54">
        <f t="shared" si="8"/>
        <v>0.47581604315024234</v>
      </c>
      <c r="Z31" s="54">
        <f t="shared" si="9"/>
        <v>0.47207262140700323</v>
      </c>
      <c r="AA31" s="54">
        <f t="shared" si="10"/>
        <v>0.47263167797027011</v>
      </c>
      <c r="AB31" s="54">
        <f t="shared" si="11"/>
        <v>0.47271567347948235</v>
      </c>
      <c r="AC31" s="54">
        <f t="shared" si="12"/>
        <v>0.47100167358153083</v>
      </c>
      <c r="AD31" s="54">
        <f t="shared" si="13"/>
        <v>0.47399948198386355</v>
      </c>
    </row>
    <row r="32" spans="1:30" x14ac:dyDescent="0.3">
      <c r="A32" s="16" t="s">
        <v>38</v>
      </c>
      <c r="B32" s="17" t="s">
        <v>28</v>
      </c>
      <c r="C32" s="18"/>
      <c r="D32" s="15">
        <v>2591.84</v>
      </c>
      <c r="E32" s="15">
        <v>8201.4700000000012</v>
      </c>
      <c r="F32" s="15">
        <v>16762.46</v>
      </c>
      <c r="G32" s="15">
        <v>28625.439999999999</v>
      </c>
      <c r="H32" s="15">
        <v>41420.310000000005</v>
      </c>
      <c r="I32" s="15">
        <v>49041.979999999989</v>
      </c>
      <c r="J32" s="15">
        <v>60604.13</v>
      </c>
      <c r="L32" s="16" t="s">
        <v>38</v>
      </c>
      <c r="M32" s="17" t="s">
        <v>45</v>
      </c>
      <c r="N32" s="18"/>
      <c r="O32" s="15">
        <v>3908.355256130696</v>
      </c>
      <c r="P32" s="15">
        <v>13086.910811783966</v>
      </c>
      <c r="Q32" s="15">
        <v>28595.686578981265</v>
      </c>
      <c r="R32" s="15">
        <v>51328.322396949254</v>
      </c>
      <c r="S32" s="15">
        <v>75966.090521392369</v>
      </c>
      <c r="T32" s="15">
        <v>92093.940846345169</v>
      </c>
      <c r="U32" s="15">
        <v>116044.46121123261</v>
      </c>
      <c r="W32" s="53" t="s">
        <v>38</v>
      </c>
      <c r="X32" s="54">
        <f t="shared" si="14"/>
        <v>0.17213997616133958</v>
      </c>
      <c r="Y32" s="54">
        <f t="shared" si="8"/>
        <v>0.18215510029132551</v>
      </c>
      <c r="Z32" s="54">
        <f t="shared" si="9"/>
        <v>0.1947415703296968</v>
      </c>
      <c r="AA32" s="54">
        <f t="shared" si="10"/>
        <v>0.20469196399769984</v>
      </c>
      <c r="AB32" s="54">
        <f t="shared" si="11"/>
        <v>0.20936415352061483</v>
      </c>
      <c r="AC32" s="54">
        <f t="shared" si="12"/>
        <v>0.21436750608213243</v>
      </c>
      <c r="AD32" s="54">
        <f t="shared" si="13"/>
        <v>0.21858385910587955</v>
      </c>
    </row>
    <row r="33" spans="1:30" x14ac:dyDescent="0.3">
      <c r="A33" s="16" t="s">
        <v>39</v>
      </c>
      <c r="B33" s="17" t="s">
        <v>28</v>
      </c>
      <c r="C33" s="18"/>
      <c r="D33" s="15">
        <v>750.02</v>
      </c>
      <c r="E33" s="15">
        <v>1500.02</v>
      </c>
      <c r="F33" s="15">
        <v>3000.0600000000004</v>
      </c>
      <c r="G33" s="15">
        <v>8089.9500000000007</v>
      </c>
      <c r="H33" s="15">
        <v>12207.02</v>
      </c>
      <c r="I33" s="15">
        <v>16382.720000000001</v>
      </c>
      <c r="J33" s="15">
        <v>19212.41</v>
      </c>
      <c r="L33" s="16" t="s">
        <v>39</v>
      </c>
      <c r="M33" s="17" t="s">
        <v>45</v>
      </c>
      <c r="N33" s="18"/>
      <c r="O33" s="15">
        <v>-15.827632619585852</v>
      </c>
      <c r="P33" s="15">
        <v>65.955794374703785</v>
      </c>
      <c r="Q33" s="15">
        <v>-821.78575466548853</v>
      </c>
      <c r="R33" s="15">
        <v>-1874.5951001577666</v>
      </c>
      <c r="S33" s="15">
        <v>-2442.6132125180739</v>
      </c>
      <c r="T33" s="15">
        <v>-3249.067520321441</v>
      </c>
      <c r="U33" s="15">
        <v>-4080.5904127587009</v>
      </c>
      <c r="W33" s="53" t="s">
        <v>39</v>
      </c>
      <c r="X33" s="54">
        <f t="shared" si="14"/>
        <v>-2.4090122618930852E-3</v>
      </c>
      <c r="Y33" s="54">
        <f t="shared" si="8"/>
        <v>5.0193999220576437E-3</v>
      </c>
      <c r="Z33" s="54">
        <f t="shared" si="9"/>
        <v>-3.1269761007576211E-2</v>
      </c>
      <c r="AA33" s="54">
        <f t="shared" si="10"/>
        <v>-2.6451940302132108E-2</v>
      </c>
      <c r="AB33" s="54">
        <f t="shared" si="11"/>
        <v>-2.2842358308307439E-2</v>
      </c>
      <c r="AC33" s="54">
        <f t="shared" si="12"/>
        <v>-2.2639593349465494E-2</v>
      </c>
      <c r="AD33" s="54">
        <f t="shared" si="13"/>
        <v>-2.4245829824279252E-2</v>
      </c>
    </row>
    <row r="34" spans="1:30" x14ac:dyDescent="0.3">
      <c r="A34" s="19" t="s">
        <v>40</v>
      </c>
      <c r="B34" s="20" t="s">
        <v>28</v>
      </c>
      <c r="C34" s="21"/>
      <c r="D34" s="15">
        <v>1435.3999999999999</v>
      </c>
      <c r="E34" s="15">
        <v>1435.3999999999999</v>
      </c>
      <c r="F34" s="15">
        <v>1435.3999999999999</v>
      </c>
      <c r="G34" s="15">
        <v>1435.3999999999999</v>
      </c>
      <c r="H34" s="15">
        <v>1435.3999999999999</v>
      </c>
      <c r="I34" s="15">
        <v>1435.3999999999999</v>
      </c>
      <c r="J34" s="15">
        <v>1435.3999999999999</v>
      </c>
      <c r="L34" s="19" t="s">
        <v>40</v>
      </c>
      <c r="M34" s="20" t="s">
        <v>45</v>
      </c>
      <c r="N34" s="21"/>
      <c r="O34" s="15">
        <v>-74.042604392680303</v>
      </c>
      <c r="P34" s="15">
        <v>-63.711580641990295</v>
      </c>
      <c r="Q34" s="15">
        <v>-222.99158921908111</v>
      </c>
      <c r="R34" s="15">
        <v>-114.52132090843091</v>
      </c>
      <c r="S34" s="15">
        <v>-287.821858578741</v>
      </c>
      <c r="T34" s="15">
        <v>-310.1543992951751</v>
      </c>
      <c r="U34" s="15">
        <v>-394.97272220455068</v>
      </c>
      <c r="W34" s="53" t="s">
        <v>40</v>
      </c>
      <c r="X34" s="54">
        <f t="shared" si="14"/>
        <v>-5.8884994424000551E-3</v>
      </c>
      <c r="Y34" s="54">
        <f t="shared" si="8"/>
        <v>-5.0668883160176099E-3</v>
      </c>
      <c r="Z34" s="54">
        <f t="shared" si="9"/>
        <v>-1.7734193165499595E-2</v>
      </c>
      <c r="AA34" s="54">
        <f t="shared" si="10"/>
        <v>-9.1077122400475552E-3</v>
      </c>
      <c r="AB34" s="54">
        <f t="shared" si="11"/>
        <v>-2.2890049150121633E-2</v>
      </c>
      <c r="AC34" s="54">
        <f t="shared" si="12"/>
        <v>-2.4666123271699925E-2</v>
      </c>
      <c r="AD34" s="54">
        <f t="shared" si="13"/>
        <v>-3.1411599761267339E-2</v>
      </c>
    </row>
    <row r="35" spans="1:30" x14ac:dyDescent="0.3">
      <c r="L35" s="36" t="s">
        <v>46</v>
      </c>
      <c r="M35" s="17" t="s">
        <v>45</v>
      </c>
      <c r="N35" s="18"/>
      <c r="O35" s="37">
        <v>4695.1878702624608</v>
      </c>
      <c r="P35" s="37">
        <v>3832.1471742096955</v>
      </c>
      <c r="Q35" s="37">
        <v>3330.3214894607609</v>
      </c>
      <c r="R35" s="37">
        <v>5004.8701316282968</v>
      </c>
      <c r="S35" s="37">
        <v>13978.025346263121</v>
      </c>
      <c r="T35" s="37">
        <v>14458.736029917909</v>
      </c>
      <c r="U35" s="37">
        <v>15072.684172605721</v>
      </c>
    </row>
    <row r="36" spans="1:30" x14ac:dyDescent="0.3">
      <c r="L36" s="38" t="s">
        <v>47</v>
      </c>
      <c r="M36" s="20" t="s">
        <v>45</v>
      </c>
      <c r="N36" s="21"/>
      <c r="O36" s="37">
        <v>-3319.3042451224055</v>
      </c>
      <c r="P36" s="37">
        <v>-6656.9920950772776</v>
      </c>
      <c r="Q36" s="37">
        <v>-11479.502421345693</v>
      </c>
      <c r="R36" s="37">
        <v>-14461.429814313533</v>
      </c>
      <c r="S36" s="37">
        <v>-13978.054389179058</v>
      </c>
      <c r="T36" s="37">
        <v>-14458.74856345943</v>
      </c>
      <c r="U36" s="37">
        <v>-15072.71309790592</v>
      </c>
    </row>
    <row r="37" spans="1:30" x14ac:dyDescent="0.3">
      <c r="L37" s="38" t="s">
        <v>19</v>
      </c>
      <c r="M37" s="20" t="s">
        <v>45</v>
      </c>
      <c r="N37" s="21"/>
      <c r="O37" s="37">
        <v>158973.36888633782</v>
      </c>
      <c r="P37" s="37">
        <v>150511.72590352735</v>
      </c>
      <c r="Q37" s="37">
        <v>173371.29003969827</v>
      </c>
      <c r="R37" s="37">
        <v>219076.04097120202</v>
      </c>
      <c r="S37" s="37">
        <v>267142.84680834576</v>
      </c>
      <c r="T37" s="37">
        <v>300115.13742809481</v>
      </c>
      <c r="U37" s="37">
        <v>319942.30182456976</v>
      </c>
    </row>
    <row r="39" spans="1:30" x14ac:dyDescent="0.3">
      <c r="A39" s="8" t="s">
        <v>42</v>
      </c>
      <c r="B39" s="9" t="s">
        <v>27</v>
      </c>
      <c r="C39" s="10"/>
      <c r="D39" s="11">
        <v>2020</v>
      </c>
      <c r="E39" s="11">
        <v>2025</v>
      </c>
      <c r="F39" s="11">
        <v>2030</v>
      </c>
      <c r="G39" s="11">
        <v>2035</v>
      </c>
      <c r="H39" s="11">
        <v>2040</v>
      </c>
      <c r="I39" s="11">
        <v>2045</v>
      </c>
      <c r="J39" s="11">
        <v>2050</v>
      </c>
      <c r="L39" s="8" t="s">
        <v>42</v>
      </c>
      <c r="M39" s="9" t="s">
        <v>27</v>
      </c>
      <c r="N39" s="10"/>
      <c r="O39" s="11">
        <v>2020</v>
      </c>
      <c r="P39" s="11">
        <v>2025</v>
      </c>
      <c r="Q39" s="11">
        <v>2030</v>
      </c>
      <c r="R39" s="11">
        <v>2035</v>
      </c>
      <c r="S39" s="11">
        <v>2040</v>
      </c>
      <c r="T39" s="11">
        <v>2045</v>
      </c>
      <c r="U39" s="11">
        <v>2050</v>
      </c>
      <c r="W39" s="52" t="s">
        <v>42</v>
      </c>
      <c r="X39" s="52">
        <v>2020</v>
      </c>
      <c r="Y39" s="52">
        <v>2025</v>
      </c>
      <c r="Z39" s="52">
        <v>2030</v>
      </c>
      <c r="AA39" s="52">
        <v>2035</v>
      </c>
      <c r="AB39" s="52">
        <v>2040</v>
      </c>
      <c r="AC39" s="52">
        <v>2045</v>
      </c>
      <c r="AD39" s="52">
        <v>2050</v>
      </c>
    </row>
    <row r="40" spans="1:30" x14ac:dyDescent="0.3">
      <c r="A40" s="12" t="s">
        <v>2</v>
      </c>
      <c r="B40" s="13" t="s">
        <v>28</v>
      </c>
      <c r="C40" s="14"/>
      <c r="D40" s="15">
        <v>4860.2</v>
      </c>
      <c r="E40" s="15">
        <v>3355.2</v>
      </c>
      <c r="F40" s="15">
        <v>3355.2</v>
      </c>
      <c r="G40" s="15">
        <v>3355.2</v>
      </c>
      <c r="H40" s="15">
        <v>3355.2</v>
      </c>
      <c r="I40" s="15">
        <v>3355.2</v>
      </c>
      <c r="J40" s="15">
        <v>2135.4</v>
      </c>
      <c r="L40" s="12" t="s">
        <v>2</v>
      </c>
      <c r="M40" s="13" t="s">
        <v>45</v>
      </c>
      <c r="N40" s="14"/>
      <c r="O40" s="15">
        <v>38317.816801679604</v>
      </c>
      <c r="P40" s="15">
        <v>26452.396801159503</v>
      </c>
      <c r="Q40" s="15">
        <v>26452.396801159503</v>
      </c>
      <c r="R40" s="15">
        <v>26452.396801159503</v>
      </c>
      <c r="S40" s="15">
        <v>26452.396801159503</v>
      </c>
      <c r="T40" s="15">
        <v>26452.396801159503</v>
      </c>
      <c r="U40" s="15">
        <v>16835.4936007379</v>
      </c>
      <c r="W40" s="53" t="s">
        <v>2</v>
      </c>
      <c r="X40" s="54">
        <f>IF(D40&gt;0,O40/(D40*8.76),"")</f>
        <v>0.90000000003945013</v>
      </c>
      <c r="Y40" s="54">
        <f t="shared" ref="Y40:Y52" si="15">IF(E40&gt;0,P40/(E40*8.76),"")</f>
        <v>0.90000000003945035</v>
      </c>
      <c r="Z40" s="54">
        <f t="shared" ref="Z40:Z52" si="16">IF(F40&gt;0,Q40/(F40*8.76),"")</f>
        <v>0.90000000003945035</v>
      </c>
      <c r="AA40" s="54">
        <f t="shared" ref="AA40:AA52" si="17">IF(G40&gt;0,R40/(G40*8.76),"")</f>
        <v>0.90000000003945035</v>
      </c>
      <c r="AB40" s="54">
        <f t="shared" ref="AB40:AB52" si="18">IF(H40&gt;0,S40/(H40*8.76),"")</f>
        <v>0.90000000003945035</v>
      </c>
      <c r="AC40" s="54">
        <f t="shared" ref="AC40:AC52" si="19">IF(I40&gt;0,T40/(I40*8.76),"")</f>
        <v>0.90000000003945035</v>
      </c>
      <c r="AD40" s="54">
        <f t="shared" ref="AD40:AD52" si="20">IF(J40&gt;0,U40/(J40*8.76),"")</f>
        <v>0.90000000003944702</v>
      </c>
    </row>
    <row r="41" spans="1:30" x14ac:dyDescent="0.3">
      <c r="A41" s="16" t="s">
        <v>29</v>
      </c>
      <c r="B41" s="17" t="s">
        <v>28</v>
      </c>
      <c r="C41" s="18"/>
      <c r="D41" s="15">
        <v>26388.100000000002</v>
      </c>
      <c r="E41" s="15">
        <v>25775.200000000001</v>
      </c>
      <c r="F41" s="15">
        <v>21579.049999999996</v>
      </c>
      <c r="G41" s="15">
        <v>20326.409999999996</v>
      </c>
      <c r="H41" s="15">
        <v>0</v>
      </c>
      <c r="I41" s="15">
        <v>0</v>
      </c>
      <c r="J41" s="15">
        <v>0</v>
      </c>
      <c r="L41" s="16" t="s">
        <v>29</v>
      </c>
      <c r="M41" s="17" t="s">
        <v>45</v>
      </c>
      <c r="N41" s="18"/>
      <c r="O41" s="15">
        <v>70458.669606661628</v>
      </c>
      <c r="P41" s="15">
        <v>58123.62080017892</v>
      </c>
      <c r="Q41" s="15">
        <v>25586.59483524998</v>
      </c>
      <c r="R41" s="15">
        <v>20849.757209320614</v>
      </c>
      <c r="S41" s="15">
        <v>0</v>
      </c>
      <c r="T41" s="15">
        <v>0</v>
      </c>
      <c r="U41" s="15">
        <v>0</v>
      </c>
      <c r="W41" s="53" t="s">
        <v>29</v>
      </c>
      <c r="X41" s="54">
        <f t="shared" ref="X41:X52" si="21">IF(D41&gt;0,O41/(D41*8.76),"")</f>
        <v>0.30480508729495986</v>
      </c>
      <c r="Y41" s="54">
        <f t="shared" si="15"/>
        <v>0.25742250417846574</v>
      </c>
      <c r="Z41" s="54">
        <f t="shared" si="16"/>
        <v>0.13535554898269908</v>
      </c>
      <c r="AA41" s="54">
        <f t="shared" si="17"/>
        <v>0.11709442397700284</v>
      </c>
      <c r="AB41" s="54" t="str">
        <f t="shared" si="18"/>
        <v/>
      </c>
      <c r="AC41" s="54" t="str">
        <f t="shared" si="19"/>
        <v/>
      </c>
      <c r="AD41" s="54" t="str">
        <f t="shared" si="20"/>
        <v/>
      </c>
    </row>
    <row r="42" spans="1:30" x14ac:dyDescent="0.3">
      <c r="A42" s="16" t="s">
        <v>30</v>
      </c>
      <c r="B42" s="17" t="s">
        <v>28</v>
      </c>
      <c r="C42" s="18"/>
      <c r="D42" s="15">
        <v>0</v>
      </c>
      <c r="E42" s="15">
        <v>0</v>
      </c>
      <c r="F42" s="15">
        <v>0</v>
      </c>
      <c r="G42" s="15">
        <v>0</v>
      </c>
      <c r="H42" s="15">
        <v>23676.28</v>
      </c>
      <c r="I42" s="15">
        <v>24333.41</v>
      </c>
      <c r="J42" s="15">
        <v>24047.84</v>
      </c>
      <c r="L42" s="16" t="s">
        <v>30</v>
      </c>
      <c r="M42" s="17" t="s">
        <v>45</v>
      </c>
      <c r="N42" s="18"/>
      <c r="O42" s="15">
        <v>0</v>
      </c>
      <c r="P42" s="15">
        <v>0</v>
      </c>
      <c r="Q42" s="15">
        <v>0</v>
      </c>
      <c r="R42" s="15">
        <v>0</v>
      </c>
      <c r="S42" s="15">
        <v>4643.5427447130514</v>
      </c>
      <c r="T42" s="15">
        <v>5613.6862893403713</v>
      </c>
      <c r="U42" s="15">
        <v>6608.5009735586345</v>
      </c>
      <c r="W42" s="53" t="s">
        <v>30</v>
      </c>
      <c r="X42" s="54" t="str">
        <f t="shared" si="21"/>
        <v/>
      </c>
      <c r="Y42" s="54" t="str">
        <f t="shared" si="15"/>
        <v/>
      </c>
      <c r="Z42" s="54" t="str">
        <f t="shared" si="16"/>
        <v/>
      </c>
      <c r="AA42" s="54" t="str">
        <f t="shared" si="17"/>
        <v/>
      </c>
      <c r="AB42" s="54">
        <f t="shared" si="18"/>
        <v>2.238885450794012E-2</v>
      </c>
      <c r="AC42" s="54">
        <f t="shared" si="19"/>
        <v>2.6335469142612568E-2</v>
      </c>
      <c r="AD42" s="54">
        <f t="shared" si="20"/>
        <v>3.1370596623471386E-2</v>
      </c>
    </row>
    <row r="43" spans="1:30" x14ac:dyDescent="0.3">
      <c r="A43" s="16" t="s">
        <v>31</v>
      </c>
      <c r="B43" s="17" t="s">
        <v>28</v>
      </c>
      <c r="C43" s="18"/>
      <c r="D43" s="15">
        <v>327</v>
      </c>
      <c r="E43" s="15">
        <v>327</v>
      </c>
      <c r="F43" s="15">
        <v>327</v>
      </c>
      <c r="G43" s="15">
        <v>327</v>
      </c>
      <c r="H43" s="15">
        <v>327</v>
      </c>
      <c r="I43" s="15">
        <v>275</v>
      </c>
      <c r="J43" s="15">
        <v>177.9</v>
      </c>
      <c r="L43" s="16" t="s">
        <v>31</v>
      </c>
      <c r="M43" s="17" t="s">
        <v>45</v>
      </c>
      <c r="N43" s="18"/>
      <c r="O43" s="15">
        <v>2721.2064001192689</v>
      </c>
      <c r="P43" s="15">
        <v>2721.2064001192689</v>
      </c>
      <c r="Q43" s="15">
        <v>2721.2064001192689</v>
      </c>
      <c r="R43" s="15">
        <v>2721.2064001192689</v>
      </c>
      <c r="S43" s="15">
        <v>2721.2064001192689</v>
      </c>
      <c r="T43" s="15">
        <v>2288.4624001003003</v>
      </c>
      <c r="U43" s="15">
        <v>1480.4400000648861</v>
      </c>
      <c r="W43" s="53" t="s">
        <v>31</v>
      </c>
      <c r="X43" s="54">
        <f t="shared" si="21"/>
        <v>0.94996941900188125</v>
      </c>
      <c r="Y43" s="54">
        <f t="shared" si="15"/>
        <v>0.94996941900188125</v>
      </c>
      <c r="Z43" s="54">
        <f t="shared" si="16"/>
        <v>0.94996941900188125</v>
      </c>
      <c r="AA43" s="54">
        <f t="shared" si="17"/>
        <v>0.94996941900188125</v>
      </c>
      <c r="AB43" s="54">
        <f t="shared" si="18"/>
        <v>0.94996941900188125</v>
      </c>
      <c r="AC43" s="54">
        <f t="shared" si="19"/>
        <v>0.94996363640527204</v>
      </c>
      <c r="AD43" s="54">
        <f t="shared" si="20"/>
        <v>0.94997189436428942</v>
      </c>
    </row>
    <row r="44" spans="1:30" x14ac:dyDescent="0.3">
      <c r="A44" s="16" t="s">
        <v>32</v>
      </c>
      <c r="B44" s="17" t="s">
        <v>28</v>
      </c>
      <c r="C44" s="18"/>
      <c r="D44" s="15">
        <v>4268.8600000000006</v>
      </c>
      <c r="E44" s="15">
        <v>4268.8600000000006</v>
      </c>
      <c r="F44" s="15">
        <v>4609.8600000000006</v>
      </c>
      <c r="G44" s="15">
        <v>4613.1900000000005</v>
      </c>
      <c r="H44" s="15">
        <v>4613.1900000000005</v>
      </c>
      <c r="I44" s="15">
        <v>4613.1900000000005</v>
      </c>
      <c r="J44" s="15">
        <v>4613.1900000000005</v>
      </c>
      <c r="L44" s="16" t="s">
        <v>32</v>
      </c>
      <c r="M44" s="17" t="s">
        <v>45</v>
      </c>
      <c r="N44" s="18"/>
      <c r="O44" s="15">
        <v>27121.145633327298</v>
      </c>
      <c r="P44" s="15">
        <v>27000.278551707295</v>
      </c>
      <c r="Q44" s="15">
        <v>30866.505053172728</v>
      </c>
      <c r="R44" s="15">
        <v>30994.260348529184</v>
      </c>
      <c r="S44" s="15">
        <v>30023.319785213618</v>
      </c>
      <c r="T44" s="15">
        <v>30008.148923691198</v>
      </c>
      <c r="U44" s="15">
        <v>30005.962659735298</v>
      </c>
      <c r="W44" s="53" t="s">
        <v>32</v>
      </c>
      <c r="X44" s="54">
        <f t="shared" si="21"/>
        <v>0.72525713914700829</v>
      </c>
      <c r="Y44" s="54">
        <f t="shared" si="15"/>
        <v>0.72202498535019177</v>
      </c>
      <c r="Z44" s="54">
        <f t="shared" si="16"/>
        <v>0.76435588851004843</v>
      </c>
      <c r="AA44" s="54">
        <f t="shared" si="17"/>
        <v>0.76696549980230844</v>
      </c>
      <c r="AB44" s="54">
        <f t="shared" si="18"/>
        <v>0.74293918312148477</v>
      </c>
      <c r="AC44" s="54">
        <f t="shared" si="19"/>
        <v>0.74256377402124707</v>
      </c>
      <c r="AD44" s="54">
        <f t="shared" si="20"/>
        <v>0.74250967403599877</v>
      </c>
    </row>
    <row r="45" spans="1:30" x14ac:dyDescent="0.3">
      <c r="A45" s="16" t="s">
        <v>33</v>
      </c>
      <c r="B45" s="17" t="s">
        <v>28</v>
      </c>
      <c r="C45" s="18"/>
      <c r="D45" s="15">
        <v>1485</v>
      </c>
      <c r="E45" s="15">
        <v>1485</v>
      </c>
      <c r="F45" s="15">
        <v>1485</v>
      </c>
      <c r="G45" s="15">
        <v>1485</v>
      </c>
      <c r="H45" s="15">
        <v>1485</v>
      </c>
      <c r="I45" s="15">
        <v>1485</v>
      </c>
      <c r="J45" s="15">
        <v>1485</v>
      </c>
      <c r="L45" s="16" t="s">
        <v>33</v>
      </c>
      <c r="M45" s="17" t="s">
        <v>45</v>
      </c>
      <c r="N45" s="18"/>
      <c r="O45" s="15">
        <v>10360.541469879057</v>
      </c>
      <c r="P45" s="15">
        <v>10360.543377619029</v>
      </c>
      <c r="Q45" s="15">
        <v>10360.545260971885</v>
      </c>
      <c r="R45" s="15">
        <v>10360.53443525651</v>
      </c>
      <c r="S45" s="15">
        <v>10360.535434377112</v>
      </c>
      <c r="T45" s="15">
        <v>10360.525043240223</v>
      </c>
      <c r="U45" s="15">
        <v>10360.548120766925</v>
      </c>
      <c r="W45" s="53" t="s">
        <v>33</v>
      </c>
      <c r="X45" s="54">
        <f t="shared" si="21"/>
        <v>0.79643785417947033</v>
      </c>
      <c r="Y45" s="54">
        <f t="shared" si="15"/>
        <v>0.79643800083168281</v>
      </c>
      <c r="Z45" s="54">
        <f t="shared" si="16"/>
        <v>0.79643814560920345</v>
      </c>
      <c r="AA45" s="54">
        <f t="shared" si="17"/>
        <v>0.7964373134123971</v>
      </c>
      <c r="AB45" s="54">
        <f t="shared" si="18"/>
        <v>0.79643739021701887</v>
      </c>
      <c r="AC45" s="54">
        <f t="shared" si="19"/>
        <v>0.79643659142722678</v>
      </c>
      <c r="AD45" s="54">
        <f t="shared" si="20"/>
        <v>0.79643836544800561</v>
      </c>
    </row>
    <row r="46" spans="1:30" x14ac:dyDescent="0.3">
      <c r="A46" s="16" t="s">
        <v>34</v>
      </c>
      <c r="B46" s="17" t="s">
        <v>28</v>
      </c>
      <c r="C46" s="18"/>
      <c r="D46" s="15">
        <v>0</v>
      </c>
      <c r="E46" s="15">
        <v>0</v>
      </c>
      <c r="F46" s="15">
        <v>1250</v>
      </c>
      <c r="G46" s="15">
        <v>1250</v>
      </c>
      <c r="H46" s="15">
        <v>1250</v>
      </c>
      <c r="I46" s="15">
        <v>1250</v>
      </c>
      <c r="J46" s="15">
        <v>1250</v>
      </c>
      <c r="L46" s="16" t="s">
        <v>34</v>
      </c>
      <c r="M46" s="17" t="s">
        <v>45</v>
      </c>
      <c r="N46" s="18"/>
      <c r="O46" s="15">
        <v>0</v>
      </c>
      <c r="P46" s="15">
        <v>0</v>
      </c>
      <c r="Q46" s="15">
        <v>8760.0047585839584</v>
      </c>
      <c r="R46" s="15">
        <v>8760.0049927414202</v>
      </c>
      <c r="S46" s="15">
        <v>8760.0015939196801</v>
      </c>
      <c r="T46" s="15">
        <v>8760.0065359720393</v>
      </c>
      <c r="U46" s="15">
        <v>8760.0045501977293</v>
      </c>
      <c r="W46" s="53" t="s">
        <v>34</v>
      </c>
      <c r="X46" s="54" t="str">
        <f t="shared" si="21"/>
        <v/>
      </c>
      <c r="Y46" s="54" t="str">
        <f t="shared" si="15"/>
        <v/>
      </c>
      <c r="Z46" s="54">
        <f t="shared" si="16"/>
        <v>0.80000043457387748</v>
      </c>
      <c r="AA46" s="54">
        <f t="shared" si="17"/>
        <v>0.80000045595812053</v>
      </c>
      <c r="AB46" s="54">
        <f t="shared" si="18"/>
        <v>0.80000014556344112</v>
      </c>
      <c r="AC46" s="54">
        <f t="shared" si="19"/>
        <v>0.80000059689242364</v>
      </c>
      <c r="AD46" s="54">
        <f t="shared" si="20"/>
        <v>0.80000041554317158</v>
      </c>
    </row>
    <row r="47" spans="1:30" x14ac:dyDescent="0.3">
      <c r="A47" s="16" t="s">
        <v>35</v>
      </c>
      <c r="B47" s="17" t="s">
        <v>28</v>
      </c>
      <c r="C47" s="18"/>
      <c r="D47" s="15">
        <v>1916.9</v>
      </c>
      <c r="E47" s="15">
        <v>3292.48</v>
      </c>
      <c r="F47" s="15">
        <v>3859.2599999999993</v>
      </c>
      <c r="G47" s="15">
        <v>4491.1000000000004</v>
      </c>
      <c r="H47" s="15">
        <v>6282.4600000000019</v>
      </c>
      <c r="I47" s="15">
        <v>8304.6699999999983</v>
      </c>
      <c r="J47" s="15">
        <v>11052.120000000003</v>
      </c>
      <c r="L47" s="16" t="s">
        <v>35</v>
      </c>
      <c r="M47" s="17" t="s">
        <v>45</v>
      </c>
      <c r="N47" s="18"/>
      <c r="O47" s="15">
        <v>4796.2037912553797</v>
      </c>
      <c r="P47" s="15">
        <v>8238.013231659741</v>
      </c>
      <c r="Q47" s="15">
        <v>9965.8499079342582</v>
      </c>
      <c r="R47" s="15">
        <v>11855.774910844702</v>
      </c>
      <c r="S47" s="15">
        <v>17274.430348991733</v>
      </c>
      <c r="T47" s="15">
        <v>23376.107024268276</v>
      </c>
      <c r="U47" s="15">
        <v>31606.465816482472</v>
      </c>
      <c r="W47" s="53" t="s">
        <v>35</v>
      </c>
      <c r="X47" s="54">
        <f t="shared" si="21"/>
        <v>0.28562358407680322</v>
      </c>
      <c r="Y47" s="54">
        <f t="shared" si="15"/>
        <v>0.285624352879152</v>
      </c>
      <c r="Z47" s="54">
        <f t="shared" si="16"/>
        <v>0.29478555450507443</v>
      </c>
      <c r="AA47" s="54">
        <f t="shared" si="17"/>
        <v>0.30135133094903127</v>
      </c>
      <c r="AB47" s="54">
        <f t="shared" si="18"/>
        <v>0.31388451893309427</v>
      </c>
      <c r="AC47" s="54">
        <f t="shared" si="19"/>
        <v>0.32132587665339568</v>
      </c>
      <c r="AD47" s="54">
        <f t="shared" si="20"/>
        <v>0.3264571903831528</v>
      </c>
    </row>
    <row r="48" spans="1:30" x14ac:dyDescent="0.3">
      <c r="A48" s="16" t="s">
        <v>36</v>
      </c>
      <c r="B48" s="17" t="s">
        <v>28</v>
      </c>
      <c r="C48" s="18"/>
      <c r="D48" s="15">
        <v>0</v>
      </c>
      <c r="E48" s="15">
        <v>0</v>
      </c>
      <c r="F48" s="15">
        <v>2649.16</v>
      </c>
      <c r="G48" s="15">
        <v>5970.33</v>
      </c>
      <c r="H48" s="15">
        <v>6396.79</v>
      </c>
      <c r="I48" s="15">
        <v>6396.8</v>
      </c>
      <c r="J48" s="15">
        <v>6396.8</v>
      </c>
      <c r="L48" s="16" t="s">
        <v>36</v>
      </c>
      <c r="M48" s="17" t="s">
        <v>45</v>
      </c>
      <c r="N48" s="18"/>
      <c r="O48" s="15">
        <v>0</v>
      </c>
      <c r="P48" s="15">
        <v>0</v>
      </c>
      <c r="Q48" s="15">
        <v>10449.2092222459</v>
      </c>
      <c r="R48" s="15">
        <v>23454.8257051947</v>
      </c>
      <c r="S48" s="15">
        <v>25035.076833547999</v>
      </c>
      <c r="T48" s="15">
        <v>24848.885817303199</v>
      </c>
      <c r="U48" s="15">
        <v>24810.832066731004</v>
      </c>
      <c r="W48" s="53" t="s">
        <v>36</v>
      </c>
      <c r="X48" s="54" t="str">
        <f t="shared" si="21"/>
        <v/>
      </c>
      <c r="Y48" s="54" t="str">
        <f t="shared" si="15"/>
        <v/>
      </c>
      <c r="Z48" s="54">
        <f t="shared" si="16"/>
        <v>0.4502680483610304</v>
      </c>
      <c r="AA48" s="54">
        <f t="shared" si="17"/>
        <v>0.44846625209290653</v>
      </c>
      <c r="AB48" s="54">
        <f t="shared" si="18"/>
        <v>0.44676868918343965</v>
      </c>
      <c r="AC48" s="54">
        <f t="shared" si="19"/>
        <v>0.44344528530859317</v>
      </c>
      <c r="AD48" s="54">
        <f t="shared" si="20"/>
        <v>0.44276619022144853</v>
      </c>
    </row>
    <row r="49" spans="1:30" x14ac:dyDescent="0.3">
      <c r="A49" s="16" t="s">
        <v>37</v>
      </c>
      <c r="B49" s="17" t="s">
        <v>28</v>
      </c>
      <c r="C49" s="18"/>
      <c r="D49" s="15">
        <v>0</v>
      </c>
      <c r="E49" s="15">
        <v>1826</v>
      </c>
      <c r="F49" s="15">
        <v>6600</v>
      </c>
      <c r="G49" s="15">
        <v>9967.44</v>
      </c>
      <c r="H49" s="15">
        <v>15874.669999999998</v>
      </c>
      <c r="I49" s="15">
        <v>18065.78</v>
      </c>
      <c r="J49" s="15">
        <v>18310</v>
      </c>
      <c r="L49" s="16" t="s">
        <v>37</v>
      </c>
      <c r="M49" s="17" t="s">
        <v>45</v>
      </c>
      <c r="N49" s="18"/>
      <c r="O49" s="15">
        <v>0</v>
      </c>
      <c r="P49" s="15">
        <v>7611.06216864198</v>
      </c>
      <c r="Q49" s="15">
        <v>27293.36790475743</v>
      </c>
      <c r="R49" s="15">
        <v>41237.052851156055</v>
      </c>
      <c r="S49" s="15">
        <v>65700.344305163773</v>
      </c>
      <c r="T49" s="15">
        <v>74599.701055617101</v>
      </c>
      <c r="U49" s="15">
        <v>76263.204708209683</v>
      </c>
      <c r="W49" s="53" t="s">
        <v>37</v>
      </c>
      <c r="X49" s="54" t="str">
        <f t="shared" si="21"/>
        <v/>
      </c>
      <c r="Y49" s="54">
        <f t="shared" si="15"/>
        <v>0.47581747717157419</v>
      </c>
      <c r="Z49" s="54">
        <f t="shared" si="16"/>
        <v>0.47207291934338991</v>
      </c>
      <c r="AA49" s="54">
        <f t="shared" si="17"/>
        <v>0.47228035729948642</v>
      </c>
      <c r="AB49" s="54">
        <f t="shared" si="18"/>
        <v>0.47245324181494425</v>
      </c>
      <c r="AC49" s="54">
        <f t="shared" si="19"/>
        <v>0.47138554820709155</v>
      </c>
      <c r="AD49" s="54">
        <f t="shared" si="20"/>
        <v>0.47546943125752628</v>
      </c>
    </row>
    <row r="50" spans="1:30" x14ac:dyDescent="0.3">
      <c r="A50" s="16" t="s">
        <v>38</v>
      </c>
      <c r="B50" s="17" t="s">
        <v>28</v>
      </c>
      <c r="C50" s="18"/>
      <c r="D50" s="15">
        <v>2591.84</v>
      </c>
      <c r="E50" s="15">
        <v>8201.4700000000012</v>
      </c>
      <c r="F50" s="15">
        <v>18060.329999999998</v>
      </c>
      <c r="G50" s="15">
        <v>29841.480000000003</v>
      </c>
      <c r="H50" s="15">
        <v>41623.440000000002</v>
      </c>
      <c r="I50" s="15">
        <v>53450.27</v>
      </c>
      <c r="J50" s="15">
        <v>65210.26</v>
      </c>
      <c r="L50" s="16" t="s">
        <v>38</v>
      </c>
      <c r="M50" s="17" t="s">
        <v>45</v>
      </c>
      <c r="N50" s="18"/>
      <c r="O50" s="15">
        <v>3908.3878944802427</v>
      </c>
      <c r="P50" s="15">
        <v>13086.921494869928</v>
      </c>
      <c r="Q50" s="15">
        <v>31293.23238481284</v>
      </c>
      <c r="R50" s="15">
        <v>53920.944568360836</v>
      </c>
      <c r="S50" s="15">
        <v>76464.762830184962</v>
      </c>
      <c r="T50" s="15">
        <v>101266.96653866359</v>
      </c>
      <c r="U50" s="15">
        <v>125979.66972604697</v>
      </c>
      <c r="W50" s="53" t="s">
        <v>38</v>
      </c>
      <c r="X50" s="54">
        <f t="shared" si="21"/>
        <v>0.17214141368795749</v>
      </c>
      <c r="Y50" s="54">
        <f t="shared" si="15"/>
        <v>0.18215524898788368</v>
      </c>
      <c r="Z50" s="54">
        <f t="shared" si="16"/>
        <v>0.19779742684210502</v>
      </c>
      <c r="AA50" s="54">
        <f t="shared" si="17"/>
        <v>0.2062685553461478</v>
      </c>
      <c r="AB50" s="54">
        <f t="shared" si="18"/>
        <v>0.20971006251186866</v>
      </c>
      <c r="AC50" s="54">
        <f t="shared" si="19"/>
        <v>0.21627872034256027</v>
      </c>
      <c r="AD50" s="54">
        <f t="shared" si="20"/>
        <v>0.22053647441839261</v>
      </c>
    </row>
    <row r="51" spans="1:30" x14ac:dyDescent="0.3">
      <c r="A51" s="16" t="s">
        <v>39</v>
      </c>
      <c r="B51" s="17" t="s">
        <v>28</v>
      </c>
      <c r="C51" s="18"/>
      <c r="D51" s="15">
        <v>750</v>
      </c>
      <c r="E51" s="15">
        <v>1500</v>
      </c>
      <c r="F51" s="15">
        <v>3000.02</v>
      </c>
      <c r="G51" s="15">
        <v>6310.52</v>
      </c>
      <c r="H51" s="15">
        <v>11576.19</v>
      </c>
      <c r="I51" s="15">
        <v>18972.910000000003</v>
      </c>
      <c r="J51" s="15">
        <v>22955.77</v>
      </c>
      <c r="L51" s="16" t="s">
        <v>39</v>
      </c>
      <c r="M51" s="17" t="s">
        <v>45</v>
      </c>
      <c r="N51" s="18"/>
      <c r="O51" s="15">
        <v>-15.673759137800015</v>
      </c>
      <c r="P51" s="15">
        <v>60.99679257538898</v>
      </c>
      <c r="Q51" s="15">
        <v>-812.22104145491403</v>
      </c>
      <c r="R51" s="15">
        <v>-1780.6384779093516</v>
      </c>
      <c r="S51" s="15">
        <v>-2381.0387357121172</v>
      </c>
      <c r="T51" s="15">
        <v>-3843.7474406766623</v>
      </c>
      <c r="U51" s="15">
        <v>-4823.2150246936117</v>
      </c>
      <c r="W51" s="53" t="s">
        <v>39</v>
      </c>
      <c r="X51" s="54">
        <f t="shared" si="21"/>
        <v>-2.3856558809436856E-3</v>
      </c>
      <c r="Y51" s="54">
        <f t="shared" si="15"/>
        <v>4.6420694501818098E-3</v>
      </c>
      <c r="Z51" s="54">
        <f t="shared" si="16"/>
        <v>-3.0906226281737805E-2</v>
      </c>
      <c r="AA51" s="54">
        <f t="shared" si="17"/>
        <v>-3.2211170020545667E-2</v>
      </c>
      <c r="AB51" s="54">
        <f t="shared" si="18"/>
        <v>-2.3479925161299306E-2</v>
      </c>
      <c r="AC51" s="54">
        <f t="shared" si="19"/>
        <v>-2.3126866380283471E-2</v>
      </c>
      <c r="AD51" s="54">
        <f t="shared" si="20"/>
        <v>-2.3985051359793581E-2</v>
      </c>
    </row>
    <row r="52" spans="1:30" x14ac:dyDescent="0.3">
      <c r="A52" s="19" t="s">
        <v>40</v>
      </c>
      <c r="B52" s="20" t="s">
        <v>28</v>
      </c>
      <c r="C52" s="21"/>
      <c r="D52" s="15">
        <v>1435.3999999999999</v>
      </c>
      <c r="E52" s="15">
        <v>1435.3999999999999</v>
      </c>
      <c r="F52" s="15">
        <v>1435.3999999999999</v>
      </c>
      <c r="G52" s="15">
        <v>1435.3999999999999</v>
      </c>
      <c r="H52" s="15">
        <v>1435.3999999999999</v>
      </c>
      <c r="I52" s="15">
        <v>1435.3999999999999</v>
      </c>
      <c r="J52" s="15">
        <v>1435.3999999999999</v>
      </c>
      <c r="L52" s="19" t="s">
        <v>40</v>
      </c>
      <c r="M52" s="20" t="s">
        <v>45</v>
      </c>
      <c r="N52" s="21"/>
      <c r="O52" s="15">
        <v>-73.827723850315493</v>
      </c>
      <c r="P52" s="15">
        <v>-59.059860932064105</v>
      </c>
      <c r="Q52" s="15">
        <v>-219.77404051014273</v>
      </c>
      <c r="R52" s="15">
        <v>-163.09710524001611</v>
      </c>
      <c r="S52" s="15">
        <v>-344.95503551513599</v>
      </c>
      <c r="T52" s="15">
        <v>-306.3656772568919</v>
      </c>
      <c r="U52" s="15">
        <v>-425.66441049686739</v>
      </c>
      <c r="W52" s="53" t="s">
        <v>40</v>
      </c>
      <c r="X52" s="54">
        <f t="shared" si="21"/>
        <v>-5.8714103088630008E-3</v>
      </c>
      <c r="Y52" s="54">
        <f t="shared" si="15"/>
        <v>-4.6969438881739886E-3</v>
      </c>
      <c r="Z52" s="54">
        <f t="shared" si="16"/>
        <v>-1.7478306248313417E-2</v>
      </c>
      <c r="AA52" s="54">
        <f t="shared" si="17"/>
        <v>-1.2970872933770559E-2</v>
      </c>
      <c r="AB52" s="54">
        <f t="shared" si="18"/>
        <v>-2.7433766693446784E-2</v>
      </c>
      <c r="AC52" s="54">
        <f t="shared" si="19"/>
        <v>-2.4364811779582222E-2</v>
      </c>
      <c r="AD52" s="54">
        <f t="shared" si="20"/>
        <v>-3.3852464596830709E-2</v>
      </c>
    </row>
    <row r="53" spans="1:30" x14ac:dyDescent="0.3">
      <c r="L53" s="36" t="s">
        <v>46</v>
      </c>
      <c r="M53" s="17" t="s">
        <v>45</v>
      </c>
      <c r="N53" s="18"/>
      <c r="O53" s="37">
        <v>4694.3452744852093</v>
      </c>
      <c r="P53" s="37">
        <v>3834.1523286862248</v>
      </c>
      <c r="Q53" s="37">
        <v>3303.0164780050977</v>
      </c>
      <c r="R53" s="37">
        <v>5017.0371441287298</v>
      </c>
      <c r="S53" s="37">
        <v>14006.347673392362</v>
      </c>
      <c r="T53" s="37">
        <v>14780.468261915559</v>
      </c>
      <c r="U53" s="37">
        <v>15101.096855641928</v>
      </c>
    </row>
    <row r="54" spans="1:30" x14ac:dyDescent="0.3">
      <c r="L54" s="38" t="s">
        <v>47</v>
      </c>
      <c r="M54" s="20" t="s">
        <v>45</v>
      </c>
      <c r="N54" s="21"/>
      <c r="O54" s="37">
        <v>-3318.3319577804996</v>
      </c>
      <c r="P54" s="37">
        <v>-6628.359595154081</v>
      </c>
      <c r="Q54" s="37">
        <v>-10778.698229362313</v>
      </c>
      <c r="R54" s="37">
        <v>-14091.9118414975</v>
      </c>
      <c r="S54" s="37">
        <v>-14006.350695017756</v>
      </c>
      <c r="T54" s="37">
        <v>-14780.484670909931</v>
      </c>
      <c r="U54" s="37">
        <v>-15101.072374826461</v>
      </c>
    </row>
    <row r="55" spans="1:30" x14ac:dyDescent="0.3">
      <c r="L55" s="38" t="s">
        <v>19</v>
      </c>
      <c r="M55" s="20" t="s">
        <v>45</v>
      </c>
      <c r="N55" s="21"/>
      <c r="O55" s="37">
        <v>158973.35906502252</v>
      </c>
      <c r="P55" s="37">
        <v>150804.15488037036</v>
      </c>
      <c r="Q55" s="37">
        <v>175244.93981556926</v>
      </c>
      <c r="R55" s="37">
        <v>219592.70291058504</v>
      </c>
      <c r="S55" s="37">
        <v>264711.70182519988</v>
      </c>
      <c r="T55" s="37">
        <v>303430.59426520753</v>
      </c>
      <c r="U55" s="37">
        <v>327470.17503282393</v>
      </c>
    </row>
    <row r="57" spans="1:30" x14ac:dyDescent="0.3">
      <c r="A57" s="22" t="s">
        <v>43</v>
      </c>
      <c r="B57" s="23" t="s">
        <v>27</v>
      </c>
      <c r="C57" s="24"/>
      <c r="D57" s="25">
        <v>2020</v>
      </c>
      <c r="E57" s="25">
        <v>2025</v>
      </c>
      <c r="F57" s="25">
        <v>2030</v>
      </c>
      <c r="G57" s="25">
        <v>2035</v>
      </c>
      <c r="H57" s="25">
        <v>2040</v>
      </c>
      <c r="I57" s="25">
        <v>2045</v>
      </c>
      <c r="J57" s="25">
        <v>2050</v>
      </c>
    </row>
    <row r="58" spans="1:30" x14ac:dyDescent="0.3">
      <c r="A58" s="26" t="s">
        <v>2</v>
      </c>
      <c r="B58" s="27" t="s">
        <v>28</v>
      </c>
      <c r="C58" s="28"/>
      <c r="D58" s="35">
        <v>4860.2</v>
      </c>
      <c r="E58" s="35">
        <v>3355.2</v>
      </c>
      <c r="F58" s="35">
        <v>2135.4</v>
      </c>
      <c r="G58" s="35">
        <v>1287.2</v>
      </c>
      <c r="H58" s="35">
        <v>1287.2</v>
      </c>
      <c r="I58" s="35">
        <v>1287.2</v>
      </c>
      <c r="J58" s="35">
        <v>0</v>
      </c>
    </row>
    <row r="59" spans="1:30" x14ac:dyDescent="0.3">
      <c r="A59" s="29" t="s">
        <v>29</v>
      </c>
      <c r="B59" s="30" t="s">
        <v>28</v>
      </c>
      <c r="C59" s="31"/>
      <c r="D59" s="35">
        <v>26388.100000000002</v>
      </c>
      <c r="E59" s="35">
        <v>25775.200000000001</v>
      </c>
      <c r="F59" s="35">
        <v>20756.059999999994</v>
      </c>
      <c r="G59" s="35">
        <v>15352.17</v>
      </c>
      <c r="H59" s="35">
        <v>16318.98</v>
      </c>
      <c r="I59" s="35">
        <v>17822.41</v>
      </c>
      <c r="J59" s="35">
        <v>18638.61</v>
      </c>
    </row>
    <row r="60" spans="1:30" x14ac:dyDescent="0.3">
      <c r="A60" s="29" t="s">
        <v>30</v>
      </c>
      <c r="B60" s="30" t="s">
        <v>28</v>
      </c>
      <c r="C60" s="31"/>
      <c r="D60" s="35">
        <v>0</v>
      </c>
      <c r="E60" s="35">
        <v>0</v>
      </c>
      <c r="F60" s="35">
        <v>0</v>
      </c>
      <c r="G60" s="35">
        <v>0</v>
      </c>
      <c r="H60" s="35">
        <v>0</v>
      </c>
      <c r="I60" s="35">
        <v>0</v>
      </c>
      <c r="J60" s="35">
        <v>0</v>
      </c>
    </row>
    <row r="61" spans="1:30" x14ac:dyDescent="0.3">
      <c r="A61" s="29" t="s">
        <v>31</v>
      </c>
      <c r="B61" s="30" t="s">
        <v>28</v>
      </c>
      <c r="C61" s="31"/>
      <c r="D61" s="35">
        <v>327</v>
      </c>
      <c r="E61" s="35">
        <v>327</v>
      </c>
      <c r="F61" s="35">
        <v>327</v>
      </c>
      <c r="G61" s="35">
        <v>327</v>
      </c>
      <c r="H61" s="35">
        <v>327</v>
      </c>
      <c r="I61" s="35">
        <v>275</v>
      </c>
      <c r="J61" s="35">
        <v>177.9</v>
      </c>
    </row>
    <row r="62" spans="1:30" x14ac:dyDescent="0.3">
      <c r="A62" s="29" t="s">
        <v>32</v>
      </c>
      <c r="B62" s="30" t="s">
        <v>28</v>
      </c>
      <c r="C62" s="31"/>
      <c r="D62" s="35">
        <v>4268.8600000000006</v>
      </c>
      <c r="E62" s="35">
        <v>4268.8600000000006</v>
      </c>
      <c r="F62" s="35">
        <v>4609.8500000000004</v>
      </c>
      <c r="G62" s="35">
        <v>4609.8500000000004</v>
      </c>
      <c r="H62" s="35">
        <v>4609.8500000000004</v>
      </c>
      <c r="I62" s="35">
        <v>4609.8500000000004</v>
      </c>
      <c r="J62" s="35">
        <v>4609.8500000000004</v>
      </c>
    </row>
    <row r="63" spans="1:30" x14ac:dyDescent="0.3">
      <c r="A63" s="29" t="s">
        <v>33</v>
      </c>
      <c r="B63" s="30" t="s">
        <v>28</v>
      </c>
      <c r="C63" s="31"/>
      <c r="D63" s="35">
        <v>1485</v>
      </c>
      <c r="E63" s="35">
        <v>1485</v>
      </c>
      <c r="F63" s="35">
        <v>1485</v>
      </c>
      <c r="G63" s="35">
        <v>1485</v>
      </c>
      <c r="H63" s="35">
        <v>1485</v>
      </c>
      <c r="I63" s="35">
        <v>1485</v>
      </c>
      <c r="J63" s="35">
        <v>1485</v>
      </c>
    </row>
    <row r="64" spans="1:30" x14ac:dyDescent="0.3">
      <c r="A64" s="29" t="s">
        <v>34</v>
      </c>
      <c r="B64" s="30" t="s">
        <v>28</v>
      </c>
      <c r="C64" s="31"/>
      <c r="D64" s="35">
        <v>0</v>
      </c>
      <c r="E64" s="35">
        <v>0</v>
      </c>
      <c r="F64" s="35">
        <v>1250</v>
      </c>
      <c r="G64" s="35">
        <v>1250</v>
      </c>
      <c r="H64" s="35">
        <v>1250</v>
      </c>
      <c r="I64" s="35">
        <v>1250</v>
      </c>
      <c r="J64" s="35">
        <v>1250</v>
      </c>
    </row>
    <row r="65" spans="1:10" x14ac:dyDescent="0.3">
      <c r="A65" s="29" t="s">
        <v>35</v>
      </c>
      <c r="B65" s="30" t="s">
        <v>28</v>
      </c>
      <c r="C65" s="31"/>
      <c r="D65" s="35">
        <v>1916.9</v>
      </c>
      <c r="E65" s="35">
        <v>3292.48</v>
      </c>
      <c r="F65" s="35">
        <v>3786.66</v>
      </c>
      <c r="G65" s="35">
        <v>3786.66</v>
      </c>
      <c r="H65" s="35">
        <v>3786.66</v>
      </c>
      <c r="I65" s="35">
        <v>3786.66</v>
      </c>
      <c r="J65" s="35">
        <v>3786.66</v>
      </c>
    </row>
    <row r="66" spans="1:10" x14ac:dyDescent="0.3">
      <c r="A66" s="29" t="s">
        <v>36</v>
      </c>
      <c r="B66" s="30" t="s">
        <v>28</v>
      </c>
      <c r="C66" s="31"/>
      <c r="D66" s="35">
        <v>0</v>
      </c>
      <c r="E66" s="35">
        <v>0</v>
      </c>
      <c r="F66" s="35">
        <v>0</v>
      </c>
      <c r="G66" s="35">
        <v>0</v>
      </c>
      <c r="H66" s="35">
        <v>0</v>
      </c>
      <c r="I66" s="35">
        <v>0</v>
      </c>
      <c r="J66" s="35">
        <v>0</v>
      </c>
    </row>
    <row r="67" spans="1:10" x14ac:dyDescent="0.3">
      <c r="A67" s="29" t="s">
        <v>37</v>
      </c>
      <c r="B67" s="30" t="s">
        <v>28</v>
      </c>
      <c r="C67" s="31"/>
      <c r="D67" s="35">
        <v>0</v>
      </c>
      <c r="E67" s="35">
        <v>1826</v>
      </c>
      <c r="F67" s="35">
        <v>6200</v>
      </c>
      <c r="G67" s="35">
        <v>9000</v>
      </c>
      <c r="H67" s="35">
        <v>9000</v>
      </c>
      <c r="I67" s="35">
        <v>9000</v>
      </c>
      <c r="J67" s="35">
        <v>9000</v>
      </c>
    </row>
    <row r="68" spans="1:10" x14ac:dyDescent="0.3">
      <c r="A68" s="29" t="s">
        <v>38</v>
      </c>
      <c r="B68" s="30" t="s">
        <v>28</v>
      </c>
      <c r="C68" s="31"/>
      <c r="D68" s="35">
        <v>2591.84</v>
      </c>
      <c r="E68" s="35">
        <v>8201.4700000000012</v>
      </c>
      <c r="F68" s="35">
        <v>13644.09</v>
      </c>
      <c r="G68" s="35">
        <v>14386.999999999998</v>
      </c>
      <c r="H68" s="35">
        <v>14660.64</v>
      </c>
      <c r="I68" s="35">
        <v>14941.74</v>
      </c>
      <c r="J68" s="35">
        <v>19956.349999999999</v>
      </c>
    </row>
    <row r="69" spans="1:10" x14ac:dyDescent="0.3">
      <c r="A69" s="29" t="s">
        <v>39</v>
      </c>
      <c r="B69" s="30" t="s">
        <v>28</v>
      </c>
      <c r="C69" s="31"/>
      <c r="D69" s="35">
        <v>750</v>
      </c>
      <c r="E69" s="35">
        <v>1500.03</v>
      </c>
      <c r="F69" s="35">
        <v>3000.0200000000004</v>
      </c>
      <c r="G69" s="35">
        <v>4655.33</v>
      </c>
      <c r="H69" s="35">
        <v>4872.28</v>
      </c>
      <c r="I69" s="35">
        <v>5123.33</v>
      </c>
      <c r="J69" s="35">
        <v>8225.24</v>
      </c>
    </row>
    <row r="70" spans="1:10" x14ac:dyDescent="0.3">
      <c r="A70" s="32" t="s">
        <v>40</v>
      </c>
      <c r="B70" s="33" t="s">
        <v>28</v>
      </c>
      <c r="C70" s="34"/>
      <c r="D70" s="35">
        <v>1435.3999999999999</v>
      </c>
      <c r="E70" s="35">
        <v>1435.3999999999999</v>
      </c>
      <c r="F70" s="35">
        <v>1435.3999999999999</v>
      </c>
      <c r="G70" s="35">
        <v>1435.3999999999999</v>
      </c>
      <c r="H70" s="35">
        <v>1435.3999999999999</v>
      </c>
      <c r="I70" s="35">
        <v>1435.3999999999999</v>
      </c>
      <c r="J70" s="35">
        <v>1435.3999999999999</v>
      </c>
    </row>
    <row r="72" spans="1:10" x14ac:dyDescent="0.3">
      <c r="A72" s="39" t="s">
        <v>44</v>
      </c>
      <c r="B72" s="39"/>
      <c r="C72" s="39"/>
      <c r="D72" s="39"/>
      <c r="E72" s="39"/>
      <c r="F72" s="39"/>
      <c r="G72" s="39"/>
      <c r="H72" s="39"/>
      <c r="I72" s="39"/>
      <c r="J72" s="39"/>
    </row>
    <row r="73" spans="1:10" x14ac:dyDescent="0.3">
      <c r="A73" s="8" t="s">
        <v>26</v>
      </c>
      <c r="B73" s="9" t="s">
        <v>27</v>
      </c>
      <c r="C73" s="10"/>
      <c r="D73" s="11">
        <v>2020</v>
      </c>
      <c r="E73" s="11">
        <v>2025</v>
      </c>
      <c r="F73" s="11">
        <v>2030</v>
      </c>
      <c r="G73" s="11">
        <v>2035</v>
      </c>
      <c r="H73" s="11">
        <v>2040</v>
      </c>
      <c r="I73" s="11">
        <v>2045</v>
      </c>
      <c r="J73" s="11">
        <v>2050</v>
      </c>
    </row>
    <row r="74" spans="1:10" x14ac:dyDescent="0.3">
      <c r="A74" s="12" t="s">
        <v>2</v>
      </c>
      <c r="B74" s="13" t="s">
        <v>28</v>
      </c>
      <c r="C74" s="14"/>
      <c r="D74" s="15">
        <f>D4-D$58</f>
        <v>0</v>
      </c>
      <c r="E74" s="15">
        <f t="shared" ref="E74:J86" si="22">E4-E58</f>
        <v>0</v>
      </c>
      <c r="F74" s="15">
        <f t="shared" si="22"/>
        <v>1219.7999999999997</v>
      </c>
      <c r="G74" s="15">
        <f t="shared" si="22"/>
        <v>2068</v>
      </c>
      <c r="H74" s="15">
        <f t="shared" si="22"/>
        <v>2068</v>
      </c>
      <c r="I74" s="15">
        <f t="shared" si="22"/>
        <v>2068</v>
      </c>
      <c r="J74" s="15">
        <f t="shared" si="22"/>
        <v>2135.4</v>
      </c>
    </row>
    <row r="75" spans="1:10" x14ac:dyDescent="0.3">
      <c r="A75" s="16" t="s">
        <v>29</v>
      </c>
      <c r="B75" s="17" t="s">
        <v>28</v>
      </c>
      <c r="C75" s="18"/>
      <c r="D75" s="15">
        <f t="shared" ref="D75:D86" si="23">D5-D59</f>
        <v>0</v>
      </c>
      <c r="E75" s="15">
        <f t="shared" si="22"/>
        <v>0</v>
      </c>
      <c r="F75" s="15">
        <f t="shared" si="22"/>
        <v>822.86000000000058</v>
      </c>
      <c r="G75" s="15">
        <f t="shared" si="22"/>
        <v>2726.0300000000007</v>
      </c>
      <c r="H75" s="15">
        <f t="shared" si="22"/>
        <v>-16318.98</v>
      </c>
      <c r="I75" s="15">
        <f t="shared" si="22"/>
        <v>-17822.41</v>
      </c>
      <c r="J75" s="15">
        <f t="shared" si="22"/>
        <v>-18638.61</v>
      </c>
    </row>
    <row r="76" spans="1:10" x14ac:dyDescent="0.3">
      <c r="A76" s="16" t="s">
        <v>30</v>
      </c>
      <c r="B76" s="17" t="s">
        <v>28</v>
      </c>
      <c r="C76" s="18"/>
      <c r="D76" s="15">
        <f t="shared" si="23"/>
        <v>0</v>
      </c>
      <c r="E76" s="15">
        <f t="shared" si="22"/>
        <v>0</v>
      </c>
      <c r="F76" s="15">
        <f t="shared" si="22"/>
        <v>0</v>
      </c>
      <c r="G76" s="15">
        <f t="shared" si="22"/>
        <v>0</v>
      </c>
      <c r="H76" s="15">
        <f t="shared" si="22"/>
        <v>21015.35</v>
      </c>
      <c r="I76" s="15">
        <f t="shared" si="22"/>
        <v>21575.5</v>
      </c>
      <c r="J76" s="15">
        <f t="shared" si="22"/>
        <v>21289.9</v>
      </c>
    </row>
    <row r="77" spans="1:10" x14ac:dyDescent="0.3">
      <c r="A77" s="16" t="s">
        <v>31</v>
      </c>
      <c r="B77" s="17" t="s">
        <v>28</v>
      </c>
      <c r="C77" s="18"/>
      <c r="D77" s="15">
        <f t="shared" si="23"/>
        <v>0</v>
      </c>
      <c r="E77" s="15">
        <f t="shared" si="22"/>
        <v>0</v>
      </c>
      <c r="F77" s="15">
        <f t="shared" si="22"/>
        <v>0</v>
      </c>
      <c r="G77" s="15">
        <f t="shared" si="22"/>
        <v>0</v>
      </c>
      <c r="H77" s="15">
        <f t="shared" si="22"/>
        <v>0</v>
      </c>
      <c r="I77" s="15">
        <f t="shared" si="22"/>
        <v>0</v>
      </c>
      <c r="J77" s="15">
        <f t="shared" si="22"/>
        <v>0</v>
      </c>
    </row>
    <row r="78" spans="1:10" x14ac:dyDescent="0.3">
      <c r="A78" s="16" t="s">
        <v>32</v>
      </c>
      <c r="B78" s="17" t="s">
        <v>28</v>
      </c>
      <c r="C78" s="18"/>
      <c r="D78" s="15">
        <f t="shared" si="23"/>
        <v>0</v>
      </c>
      <c r="E78" s="15">
        <f t="shared" si="22"/>
        <v>0</v>
      </c>
      <c r="F78" s="15">
        <f t="shared" si="22"/>
        <v>1.0000000000218279E-2</v>
      </c>
      <c r="G78" s="15">
        <f t="shared" si="22"/>
        <v>1.0000000000218279E-2</v>
      </c>
      <c r="H78" s="15">
        <f t="shared" si="22"/>
        <v>3.3400000000001455</v>
      </c>
      <c r="I78" s="15">
        <f t="shared" si="22"/>
        <v>3.3400000000001455</v>
      </c>
      <c r="J78" s="15">
        <f t="shared" si="22"/>
        <v>3.3400000000001455</v>
      </c>
    </row>
    <row r="79" spans="1:10" x14ac:dyDescent="0.3">
      <c r="A79" s="16" t="s">
        <v>33</v>
      </c>
      <c r="B79" s="17" t="s">
        <v>28</v>
      </c>
      <c r="C79" s="18"/>
      <c r="D79" s="15">
        <f t="shared" si="23"/>
        <v>0</v>
      </c>
      <c r="E79" s="15">
        <f t="shared" si="22"/>
        <v>0</v>
      </c>
      <c r="F79" s="15">
        <f t="shared" si="22"/>
        <v>0</v>
      </c>
      <c r="G79" s="15">
        <f t="shared" si="22"/>
        <v>0</v>
      </c>
      <c r="H79" s="15">
        <f t="shared" si="22"/>
        <v>0</v>
      </c>
      <c r="I79" s="15">
        <f t="shared" si="22"/>
        <v>0</v>
      </c>
      <c r="J79" s="15">
        <f t="shared" si="22"/>
        <v>0</v>
      </c>
    </row>
    <row r="80" spans="1:10" x14ac:dyDescent="0.3">
      <c r="A80" s="16" t="s">
        <v>34</v>
      </c>
      <c r="B80" s="17" t="s">
        <v>28</v>
      </c>
      <c r="C80" s="18"/>
      <c r="D80" s="15">
        <f t="shared" si="23"/>
        <v>0</v>
      </c>
      <c r="E80" s="15">
        <f t="shared" si="22"/>
        <v>0</v>
      </c>
      <c r="F80" s="15">
        <f t="shared" si="22"/>
        <v>0</v>
      </c>
      <c r="G80" s="15">
        <f t="shared" si="22"/>
        <v>0</v>
      </c>
      <c r="H80" s="15">
        <f t="shared" si="22"/>
        <v>0</v>
      </c>
      <c r="I80" s="15">
        <f t="shared" si="22"/>
        <v>0</v>
      </c>
      <c r="J80" s="15">
        <f t="shared" si="22"/>
        <v>0</v>
      </c>
    </row>
    <row r="81" spans="1:10" x14ac:dyDescent="0.3">
      <c r="A81" s="16" t="s">
        <v>35</v>
      </c>
      <c r="B81" s="17" t="s">
        <v>28</v>
      </c>
      <c r="C81" s="18"/>
      <c r="D81" s="15">
        <f t="shared" si="23"/>
        <v>0</v>
      </c>
      <c r="E81" s="15">
        <f t="shared" si="22"/>
        <v>0</v>
      </c>
      <c r="F81" s="15">
        <f t="shared" si="22"/>
        <v>27.420000000000528</v>
      </c>
      <c r="G81" s="15">
        <f t="shared" si="22"/>
        <v>476.69000000000051</v>
      </c>
      <c r="H81" s="15">
        <f t="shared" si="22"/>
        <v>2058.7499999999973</v>
      </c>
      <c r="I81" s="15">
        <f t="shared" si="22"/>
        <v>3993.9899999999989</v>
      </c>
      <c r="J81" s="15">
        <f t="shared" si="22"/>
        <v>5658.5999999999985</v>
      </c>
    </row>
    <row r="82" spans="1:10" x14ac:dyDescent="0.3">
      <c r="A82" s="16" t="s">
        <v>36</v>
      </c>
      <c r="B82" s="17" t="s">
        <v>28</v>
      </c>
      <c r="C82" s="18"/>
      <c r="D82" s="15">
        <f t="shared" si="23"/>
        <v>0</v>
      </c>
      <c r="E82" s="15">
        <f t="shared" si="22"/>
        <v>0</v>
      </c>
      <c r="F82" s="15">
        <f t="shared" si="22"/>
        <v>1759.85</v>
      </c>
      <c r="G82" s="15">
        <f t="shared" si="22"/>
        <v>5796.48</v>
      </c>
      <c r="H82" s="15">
        <f t="shared" si="22"/>
        <v>6396.79</v>
      </c>
      <c r="I82" s="15">
        <f t="shared" si="22"/>
        <v>6396.79</v>
      </c>
      <c r="J82" s="15">
        <f t="shared" si="22"/>
        <v>6396.8</v>
      </c>
    </row>
    <row r="83" spans="1:10" x14ac:dyDescent="0.3">
      <c r="A83" s="16" t="s">
        <v>37</v>
      </c>
      <c r="B83" s="17" t="s">
        <v>28</v>
      </c>
      <c r="C83" s="18"/>
      <c r="D83" s="15">
        <f t="shared" si="23"/>
        <v>0</v>
      </c>
      <c r="E83" s="15">
        <f t="shared" si="22"/>
        <v>0</v>
      </c>
      <c r="F83" s="15">
        <f t="shared" si="22"/>
        <v>0</v>
      </c>
      <c r="G83" s="15">
        <f t="shared" si="22"/>
        <v>906.39999999999964</v>
      </c>
      <c r="H83" s="15">
        <f t="shared" si="22"/>
        <v>5363.6500000000015</v>
      </c>
      <c r="I83" s="15">
        <f t="shared" si="22"/>
        <v>7392.5099999999984</v>
      </c>
      <c r="J83" s="15">
        <f t="shared" si="22"/>
        <v>7392.5899999999965</v>
      </c>
    </row>
    <row r="84" spans="1:10" x14ac:dyDescent="0.3">
      <c r="A84" s="16" t="s">
        <v>38</v>
      </c>
      <c r="B84" s="17" t="s">
        <v>28</v>
      </c>
      <c r="C84" s="18"/>
      <c r="D84" s="15">
        <f t="shared" si="23"/>
        <v>0</v>
      </c>
      <c r="E84" s="15">
        <f t="shared" si="22"/>
        <v>0</v>
      </c>
      <c r="F84" s="15">
        <f t="shared" si="22"/>
        <v>5207.880000000001</v>
      </c>
      <c r="G84" s="15">
        <f t="shared" si="22"/>
        <v>14606.940000000004</v>
      </c>
      <c r="H84" s="15">
        <f t="shared" si="22"/>
        <v>28771.309999999998</v>
      </c>
      <c r="I84" s="15">
        <f t="shared" si="22"/>
        <v>38146.81</v>
      </c>
      <c r="J84" s="15">
        <f t="shared" si="22"/>
        <v>44664.73</v>
      </c>
    </row>
    <row r="85" spans="1:10" x14ac:dyDescent="0.3">
      <c r="A85" s="16" t="s">
        <v>39</v>
      </c>
      <c r="B85" s="17" t="s">
        <v>28</v>
      </c>
      <c r="C85" s="18"/>
      <c r="D85" s="15">
        <f t="shared" si="23"/>
        <v>0</v>
      </c>
      <c r="E85" s="15">
        <f t="shared" si="22"/>
        <v>-1.999999999998181E-2</v>
      </c>
      <c r="F85" s="15">
        <f t="shared" si="22"/>
        <v>3.9999999999054126E-2</v>
      </c>
      <c r="G85" s="15">
        <f t="shared" si="22"/>
        <v>1135.6899999999996</v>
      </c>
      <c r="H85" s="15">
        <f t="shared" si="22"/>
        <v>5840.8899999999985</v>
      </c>
      <c r="I85" s="15">
        <f t="shared" si="22"/>
        <v>11922.69</v>
      </c>
      <c r="J85" s="15">
        <f t="shared" si="22"/>
        <v>13239.680000000002</v>
      </c>
    </row>
    <row r="86" spans="1:10" x14ac:dyDescent="0.3">
      <c r="A86" s="19" t="s">
        <v>40</v>
      </c>
      <c r="B86" s="20" t="s">
        <v>28</v>
      </c>
      <c r="C86" s="21"/>
      <c r="D86" s="15">
        <f t="shared" si="23"/>
        <v>0</v>
      </c>
      <c r="E86" s="15">
        <f t="shared" si="22"/>
        <v>0</v>
      </c>
      <c r="F86" s="15">
        <f t="shared" si="22"/>
        <v>0</v>
      </c>
      <c r="G86" s="15">
        <f t="shared" si="22"/>
        <v>0</v>
      </c>
      <c r="H86" s="15">
        <f t="shared" si="22"/>
        <v>0</v>
      </c>
      <c r="I86" s="15">
        <f t="shared" si="22"/>
        <v>0</v>
      </c>
      <c r="J86" s="15">
        <f t="shared" si="22"/>
        <v>0</v>
      </c>
    </row>
    <row r="88" spans="1:10" x14ac:dyDescent="0.3">
      <c r="A88" s="8" t="s">
        <v>41</v>
      </c>
      <c r="B88" s="9" t="s">
        <v>27</v>
      </c>
      <c r="C88" s="10"/>
      <c r="D88" s="11">
        <v>2020</v>
      </c>
      <c r="E88" s="11">
        <v>2025</v>
      </c>
      <c r="F88" s="11">
        <v>2030</v>
      </c>
      <c r="G88" s="11">
        <v>2035</v>
      </c>
      <c r="H88" s="11">
        <v>2040</v>
      </c>
      <c r="I88" s="11">
        <v>2045</v>
      </c>
      <c r="J88" s="11">
        <v>2050</v>
      </c>
    </row>
    <row r="89" spans="1:10" x14ac:dyDescent="0.3">
      <c r="A89" s="12" t="s">
        <v>2</v>
      </c>
      <c r="B89" s="13" t="s">
        <v>28</v>
      </c>
      <c r="C89" s="14"/>
      <c r="D89" s="15">
        <f t="shared" ref="D89:J101" si="24">D22-D58</f>
        <v>0</v>
      </c>
      <c r="E89" s="15">
        <f t="shared" si="24"/>
        <v>0</v>
      </c>
      <c r="F89" s="15">
        <f t="shared" si="24"/>
        <v>1219.7999999999997</v>
      </c>
      <c r="G89" s="15">
        <f t="shared" si="24"/>
        <v>2068</v>
      </c>
      <c r="H89" s="15">
        <f t="shared" si="24"/>
        <v>2068</v>
      </c>
      <c r="I89" s="15">
        <f t="shared" si="24"/>
        <v>2068</v>
      </c>
      <c r="J89" s="15">
        <f t="shared" si="24"/>
        <v>2135.4</v>
      </c>
    </row>
    <row r="90" spans="1:10" x14ac:dyDescent="0.3">
      <c r="A90" s="16" t="s">
        <v>29</v>
      </c>
      <c r="B90" s="17" t="s">
        <v>28</v>
      </c>
      <c r="C90" s="18"/>
      <c r="D90" s="15">
        <f t="shared" si="24"/>
        <v>0</v>
      </c>
      <c r="E90" s="15">
        <f t="shared" si="24"/>
        <v>0</v>
      </c>
      <c r="F90" s="15">
        <f t="shared" si="24"/>
        <v>1641.6200000000026</v>
      </c>
      <c r="G90" s="15">
        <f t="shared" si="24"/>
        <v>-1059.8399999999983</v>
      </c>
      <c r="H90" s="15">
        <f t="shared" si="24"/>
        <v>-16318.98</v>
      </c>
      <c r="I90" s="15">
        <f t="shared" si="24"/>
        <v>-17822.41</v>
      </c>
      <c r="J90" s="15">
        <f t="shared" si="24"/>
        <v>-18638.61</v>
      </c>
    </row>
    <row r="91" spans="1:10" x14ac:dyDescent="0.3">
      <c r="A91" s="16" t="s">
        <v>30</v>
      </c>
      <c r="B91" s="17" t="s">
        <v>28</v>
      </c>
      <c r="C91" s="18"/>
      <c r="D91" s="15">
        <f t="shared" si="24"/>
        <v>0</v>
      </c>
      <c r="E91" s="15">
        <f t="shared" si="24"/>
        <v>0</v>
      </c>
      <c r="F91" s="15">
        <f t="shared" si="24"/>
        <v>0</v>
      </c>
      <c r="G91" s="15">
        <f t="shared" si="24"/>
        <v>5489.27</v>
      </c>
      <c r="H91" s="15">
        <f t="shared" si="24"/>
        <v>23521.589999999997</v>
      </c>
      <c r="I91" s="15">
        <f t="shared" si="24"/>
        <v>25230.200000000004</v>
      </c>
      <c r="J91" s="15">
        <f t="shared" si="24"/>
        <v>25359.33</v>
      </c>
    </row>
    <row r="92" spans="1:10" x14ac:dyDescent="0.3">
      <c r="A92" s="16" t="s">
        <v>31</v>
      </c>
      <c r="B92" s="17" t="s">
        <v>28</v>
      </c>
      <c r="C92" s="18"/>
      <c r="D92" s="15">
        <f t="shared" si="24"/>
        <v>0</v>
      </c>
      <c r="E92" s="15">
        <f t="shared" si="24"/>
        <v>0</v>
      </c>
      <c r="F92" s="15">
        <f t="shared" si="24"/>
        <v>0</v>
      </c>
      <c r="G92" s="15">
        <f t="shared" si="24"/>
        <v>0</v>
      </c>
      <c r="H92" s="15">
        <f t="shared" si="24"/>
        <v>0</v>
      </c>
      <c r="I92" s="15">
        <f t="shared" si="24"/>
        <v>0</v>
      </c>
      <c r="J92" s="15">
        <f t="shared" si="24"/>
        <v>0</v>
      </c>
    </row>
    <row r="93" spans="1:10" x14ac:dyDescent="0.3">
      <c r="A93" s="16" t="s">
        <v>32</v>
      </c>
      <c r="B93" s="17" t="s">
        <v>28</v>
      </c>
      <c r="C93" s="18"/>
      <c r="D93" s="15">
        <f t="shared" si="24"/>
        <v>0</v>
      </c>
      <c r="E93" s="15">
        <f t="shared" si="24"/>
        <v>0</v>
      </c>
      <c r="F93" s="15">
        <f t="shared" si="24"/>
        <v>1.0000000000218279E-2</v>
      </c>
      <c r="G93" s="15">
        <f t="shared" si="24"/>
        <v>3.3400000000001455</v>
      </c>
      <c r="H93" s="15">
        <f t="shared" si="24"/>
        <v>3.3400000000001455</v>
      </c>
      <c r="I93" s="15">
        <f t="shared" si="24"/>
        <v>3.3400000000001455</v>
      </c>
      <c r="J93" s="15">
        <f t="shared" si="24"/>
        <v>3.3400000000001455</v>
      </c>
    </row>
    <row r="94" spans="1:10" x14ac:dyDescent="0.3">
      <c r="A94" s="16" t="s">
        <v>33</v>
      </c>
      <c r="B94" s="17" t="s">
        <v>28</v>
      </c>
      <c r="C94" s="18"/>
      <c r="D94" s="15">
        <f t="shared" si="24"/>
        <v>0</v>
      </c>
      <c r="E94" s="15">
        <f t="shared" si="24"/>
        <v>0</v>
      </c>
      <c r="F94" s="15">
        <f t="shared" si="24"/>
        <v>0</v>
      </c>
      <c r="G94" s="15">
        <f t="shared" si="24"/>
        <v>0</v>
      </c>
      <c r="H94" s="15">
        <f t="shared" si="24"/>
        <v>0</v>
      </c>
      <c r="I94" s="15">
        <f t="shared" si="24"/>
        <v>0</v>
      </c>
      <c r="J94" s="15">
        <f t="shared" si="24"/>
        <v>0</v>
      </c>
    </row>
    <row r="95" spans="1:10" x14ac:dyDescent="0.3">
      <c r="A95" s="16" t="s">
        <v>34</v>
      </c>
      <c r="B95" s="17" t="s">
        <v>28</v>
      </c>
      <c r="C95" s="18"/>
      <c r="D95" s="15">
        <f t="shared" si="24"/>
        <v>0</v>
      </c>
      <c r="E95" s="15">
        <f t="shared" si="24"/>
        <v>0</v>
      </c>
      <c r="F95" s="15">
        <f t="shared" si="24"/>
        <v>0</v>
      </c>
      <c r="G95" s="15">
        <f t="shared" si="24"/>
        <v>0</v>
      </c>
      <c r="H95" s="15">
        <f t="shared" si="24"/>
        <v>0</v>
      </c>
      <c r="I95" s="15">
        <f t="shared" si="24"/>
        <v>0</v>
      </c>
      <c r="J95" s="15">
        <f t="shared" si="24"/>
        <v>0</v>
      </c>
    </row>
    <row r="96" spans="1:10" x14ac:dyDescent="0.3">
      <c r="A96" s="16" t="s">
        <v>35</v>
      </c>
      <c r="B96" s="17" t="s">
        <v>28</v>
      </c>
      <c r="C96" s="18"/>
      <c r="D96" s="15">
        <f t="shared" si="24"/>
        <v>0</v>
      </c>
      <c r="E96" s="15">
        <f t="shared" si="24"/>
        <v>0</v>
      </c>
      <c r="F96" s="15">
        <f t="shared" si="24"/>
        <v>813.40000000000146</v>
      </c>
      <c r="G96" s="15">
        <f t="shared" si="24"/>
        <v>1433.2900000000009</v>
      </c>
      <c r="H96" s="15">
        <f t="shared" si="24"/>
        <v>2339.1899999999987</v>
      </c>
      <c r="I96" s="15">
        <f t="shared" si="24"/>
        <v>4463.4599999999991</v>
      </c>
      <c r="J96" s="15">
        <f t="shared" si="24"/>
        <v>6367.0399999999991</v>
      </c>
    </row>
    <row r="97" spans="1:10" x14ac:dyDescent="0.3">
      <c r="A97" s="16" t="s">
        <v>36</v>
      </c>
      <c r="B97" s="17" t="s">
        <v>28</v>
      </c>
      <c r="C97" s="18"/>
      <c r="D97" s="15">
        <f t="shared" si="24"/>
        <v>0</v>
      </c>
      <c r="E97" s="15">
        <f t="shared" si="24"/>
        <v>0</v>
      </c>
      <c r="F97" s="15">
        <f t="shared" si="24"/>
        <v>2421.0700000000002</v>
      </c>
      <c r="G97" s="15">
        <f t="shared" si="24"/>
        <v>5448.1900000000005</v>
      </c>
      <c r="H97" s="15">
        <f t="shared" si="24"/>
        <v>6396.7800000000007</v>
      </c>
      <c r="I97" s="15">
        <f t="shared" si="24"/>
        <v>6592.9400000000005</v>
      </c>
      <c r="J97" s="15">
        <f t="shared" si="24"/>
        <v>6592.9400000000005</v>
      </c>
    </row>
    <row r="98" spans="1:10" x14ac:dyDescent="0.3">
      <c r="A98" s="16" t="s">
        <v>37</v>
      </c>
      <c r="B98" s="17" t="s">
        <v>28</v>
      </c>
      <c r="C98" s="18"/>
      <c r="D98" s="15">
        <f t="shared" si="24"/>
        <v>0</v>
      </c>
      <c r="E98" s="15">
        <f t="shared" si="24"/>
        <v>0</v>
      </c>
      <c r="F98" s="15">
        <f t="shared" si="24"/>
        <v>400</v>
      </c>
      <c r="G98" s="15">
        <f t="shared" si="24"/>
        <v>1422.7600000000002</v>
      </c>
      <c r="H98" s="15">
        <f t="shared" si="24"/>
        <v>7756.489999999998</v>
      </c>
      <c r="I98" s="15">
        <f t="shared" si="24"/>
        <v>10277.82</v>
      </c>
      <c r="J98" s="15">
        <f t="shared" si="24"/>
        <v>10277.830000000002</v>
      </c>
    </row>
    <row r="99" spans="1:10" x14ac:dyDescent="0.3">
      <c r="A99" s="16" t="s">
        <v>38</v>
      </c>
      <c r="B99" s="17" t="s">
        <v>28</v>
      </c>
      <c r="C99" s="18"/>
      <c r="D99" s="15">
        <f t="shared" si="24"/>
        <v>0</v>
      </c>
      <c r="E99" s="15">
        <f t="shared" si="24"/>
        <v>0</v>
      </c>
      <c r="F99" s="15">
        <f t="shared" si="24"/>
        <v>3118.369999999999</v>
      </c>
      <c r="G99" s="15">
        <f t="shared" si="24"/>
        <v>14238.44</v>
      </c>
      <c r="H99" s="15">
        <f t="shared" si="24"/>
        <v>26759.670000000006</v>
      </c>
      <c r="I99" s="15">
        <f t="shared" si="24"/>
        <v>34100.239999999991</v>
      </c>
      <c r="J99" s="15">
        <f t="shared" si="24"/>
        <v>40647.78</v>
      </c>
    </row>
    <row r="100" spans="1:10" x14ac:dyDescent="0.3">
      <c r="A100" s="16" t="s">
        <v>39</v>
      </c>
      <c r="B100" s="17" t="s">
        <v>28</v>
      </c>
      <c r="C100" s="18"/>
      <c r="D100" s="15">
        <f t="shared" si="24"/>
        <v>1.999999999998181E-2</v>
      </c>
      <c r="E100" s="15">
        <f t="shared" si="24"/>
        <v>-9.9999999999909051E-3</v>
      </c>
      <c r="F100" s="15">
        <f t="shared" si="24"/>
        <v>3.999999999996362E-2</v>
      </c>
      <c r="G100" s="15">
        <f t="shared" si="24"/>
        <v>3434.6200000000008</v>
      </c>
      <c r="H100" s="15">
        <f t="shared" si="24"/>
        <v>7334.7400000000007</v>
      </c>
      <c r="I100" s="15">
        <f t="shared" si="24"/>
        <v>11259.390000000001</v>
      </c>
      <c r="J100" s="15">
        <f t="shared" si="24"/>
        <v>10987.17</v>
      </c>
    </row>
    <row r="101" spans="1:10" x14ac:dyDescent="0.3">
      <c r="A101" s="19" t="s">
        <v>40</v>
      </c>
      <c r="B101" s="20" t="s">
        <v>28</v>
      </c>
      <c r="C101" s="21"/>
      <c r="D101" s="15">
        <f t="shared" si="24"/>
        <v>0</v>
      </c>
      <c r="E101" s="15">
        <f t="shared" si="24"/>
        <v>0</v>
      </c>
      <c r="F101" s="15">
        <f t="shared" si="24"/>
        <v>0</v>
      </c>
      <c r="G101" s="15">
        <f t="shared" si="24"/>
        <v>0</v>
      </c>
      <c r="H101" s="15">
        <f t="shared" si="24"/>
        <v>0</v>
      </c>
      <c r="I101" s="15">
        <f t="shared" si="24"/>
        <v>0</v>
      </c>
      <c r="J101" s="15">
        <f t="shared" si="24"/>
        <v>0</v>
      </c>
    </row>
    <row r="103" spans="1:10" x14ac:dyDescent="0.3">
      <c r="A103" s="8" t="s">
        <v>42</v>
      </c>
      <c r="B103" s="9" t="s">
        <v>27</v>
      </c>
      <c r="C103" s="10"/>
      <c r="D103" s="11">
        <v>2020</v>
      </c>
      <c r="E103" s="11">
        <v>2025</v>
      </c>
      <c r="F103" s="11">
        <v>2030</v>
      </c>
      <c r="G103" s="11">
        <v>2035</v>
      </c>
      <c r="H103" s="11">
        <v>2040</v>
      </c>
      <c r="I103" s="11">
        <v>2045</v>
      </c>
      <c r="J103" s="11">
        <v>2050</v>
      </c>
    </row>
    <row r="104" spans="1:10" x14ac:dyDescent="0.3">
      <c r="A104" s="12" t="s">
        <v>2</v>
      </c>
      <c r="B104" s="13" t="s">
        <v>28</v>
      </c>
      <c r="C104" s="14"/>
      <c r="D104" s="15">
        <f t="shared" ref="D104:J116" si="25">D40-D58</f>
        <v>0</v>
      </c>
      <c r="E104" s="15">
        <f t="shared" si="25"/>
        <v>0</v>
      </c>
      <c r="F104" s="15">
        <f t="shared" si="25"/>
        <v>1219.7999999999997</v>
      </c>
      <c r="G104" s="15">
        <f t="shared" si="25"/>
        <v>2068</v>
      </c>
      <c r="H104" s="15">
        <f t="shared" si="25"/>
        <v>2068</v>
      </c>
      <c r="I104" s="15">
        <f t="shared" si="25"/>
        <v>2068</v>
      </c>
      <c r="J104" s="15">
        <f t="shared" si="25"/>
        <v>2135.4</v>
      </c>
    </row>
    <row r="105" spans="1:10" x14ac:dyDescent="0.3">
      <c r="A105" s="16" t="s">
        <v>29</v>
      </c>
      <c r="B105" s="17" t="s">
        <v>28</v>
      </c>
      <c r="C105" s="18"/>
      <c r="D105" s="15">
        <f t="shared" si="25"/>
        <v>0</v>
      </c>
      <c r="E105" s="15">
        <f t="shared" si="25"/>
        <v>0</v>
      </c>
      <c r="F105" s="15">
        <f t="shared" si="25"/>
        <v>822.9900000000016</v>
      </c>
      <c r="G105" s="15">
        <f t="shared" si="25"/>
        <v>4974.2399999999961</v>
      </c>
      <c r="H105" s="15">
        <f t="shared" si="25"/>
        <v>-16318.98</v>
      </c>
      <c r="I105" s="15">
        <f t="shared" si="25"/>
        <v>-17822.41</v>
      </c>
      <c r="J105" s="15">
        <f t="shared" si="25"/>
        <v>-18638.61</v>
      </c>
    </row>
    <row r="106" spans="1:10" x14ac:dyDescent="0.3">
      <c r="A106" s="16" t="s">
        <v>30</v>
      </c>
      <c r="B106" s="17" t="s">
        <v>28</v>
      </c>
      <c r="C106" s="18"/>
      <c r="D106" s="15">
        <f t="shared" si="25"/>
        <v>0</v>
      </c>
      <c r="E106" s="15">
        <f t="shared" si="25"/>
        <v>0</v>
      </c>
      <c r="F106" s="15">
        <f t="shared" si="25"/>
        <v>0</v>
      </c>
      <c r="G106" s="15">
        <f t="shared" si="25"/>
        <v>0</v>
      </c>
      <c r="H106" s="15">
        <f t="shared" si="25"/>
        <v>23676.28</v>
      </c>
      <c r="I106" s="15">
        <f t="shared" si="25"/>
        <v>24333.41</v>
      </c>
      <c r="J106" s="15">
        <f t="shared" si="25"/>
        <v>24047.84</v>
      </c>
    </row>
    <row r="107" spans="1:10" x14ac:dyDescent="0.3">
      <c r="A107" s="16" t="s">
        <v>31</v>
      </c>
      <c r="B107" s="17" t="s">
        <v>28</v>
      </c>
      <c r="C107" s="18"/>
      <c r="D107" s="15">
        <f t="shared" si="25"/>
        <v>0</v>
      </c>
      <c r="E107" s="15">
        <f t="shared" si="25"/>
        <v>0</v>
      </c>
      <c r="F107" s="15">
        <f t="shared" si="25"/>
        <v>0</v>
      </c>
      <c r="G107" s="15">
        <f t="shared" si="25"/>
        <v>0</v>
      </c>
      <c r="H107" s="15">
        <f t="shared" si="25"/>
        <v>0</v>
      </c>
      <c r="I107" s="15">
        <f t="shared" si="25"/>
        <v>0</v>
      </c>
      <c r="J107" s="15">
        <f t="shared" si="25"/>
        <v>0</v>
      </c>
    </row>
    <row r="108" spans="1:10" x14ac:dyDescent="0.3">
      <c r="A108" s="16" t="s">
        <v>32</v>
      </c>
      <c r="B108" s="17" t="s">
        <v>28</v>
      </c>
      <c r="C108" s="18"/>
      <c r="D108" s="15">
        <f t="shared" si="25"/>
        <v>0</v>
      </c>
      <c r="E108" s="15">
        <f t="shared" si="25"/>
        <v>0</v>
      </c>
      <c r="F108" s="15">
        <f t="shared" si="25"/>
        <v>1.0000000000218279E-2</v>
      </c>
      <c r="G108" s="15">
        <f t="shared" si="25"/>
        <v>3.3400000000001455</v>
      </c>
      <c r="H108" s="15">
        <f t="shared" si="25"/>
        <v>3.3400000000001455</v>
      </c>
      <c r="I108" s="15">
        <f t="shared" si="25"/>
        <v>3.3400000000001455</v>
      </c>
      <c r="J108" s="15">
        <f t="shared" si="25"/>
        <v>3.3400000000001455</v>
      </c>
    </row>
    <row r="109" spans="1:10" x14ac:dyDescent="0.3">
      <c r="A109" s="16" t="s">
        <v>33</v>
      </c>
      <c r="B109" s="17" t="s">
        <v>28</v>
      </c>
      <c r="C109" s="18"/>
      <c r="D109" s="15">
        <f t="shared" si="25"/>
        <v>0</v>
      </c>
      <c r="E109" s="15">
        <f t="shared" si="25"/>
        <v>0</v>
      </c>
      <c r="F109" s="15">
        <f t="shared" si="25"/>
        <v>0</v>
      </c>
      <c r="G109" s="15">
        <f t="shared" si="25"/>
        <v>0</v>
      </c>
      <c r="H109" s="15">
        <f t="shared" si="25"/>
        <v>0</v>
      </c>
      <c r="I109" s="15">
        <f t="shared" si="25"/>
        <v>0</v>
      </c>
      <c r="J109" s="15">
        <f t="shared" si="25"/>
        <v>0</v>
      </c>
    </row>
    <row r="110" spans="1:10" x14ac:dyDescent="0.3">
      <c r="A110" s="16" t="s">
        <v>34</v>
      </c>
      <c r="B110" s="17" t="s">
        <v>28</v>
      </c>
      <c r="C110" s="18"/>
      <c r="D110" s="15">
        <f t="shared" si="25"/>
        <v>0</v>
      </c>
      <c r="E110" s="15">
        <f t="shared" si="25"/>
        <v>0</v>
      </c>
      <c r="F110" s="15">
        <f t="shared" si="25"/>
        <v>0</v>
      </c>
      <c r="G110" s="15">
        <f t="shared" si="25"/>
        <v>0</v>
      </c>
      <c r="H110" s="15">
        <f t="shared" si="25"/>
        <v>0</v>
      </c>
      <c r="I110" s="15">
        <f t="shared" si="25"/>
        <v>0</v>
      </c>
      <c r="J110" s="15">
        <f t="shared" si="25"/>
        <v>0</v>
      </c>
    </row>
    <row r="111" spans="1:10" x14ac:dyDescent="0.3">
      <c r="A111" s="16" t="s">
        <v>35</v>
      </c>
      <c r="B111" s="17" t="s">
        <v>28</v>
      </c>
      <c r="C111" s="18"/>
      <c r="D111" s="15">
        <f t="shared" si="25"/>
        <v>0</v>
      </c>
      <c r="E111" s="15">
        <f t="shared" si="25"/>
        <v>0</v>
      </c>
      <c r="F111" s="15">
        <f t="shared" si="25"/>
        <v>72.599999999999454</v>
      </c>
      <c r="G111" s="15">
        <f t="shared" si="25"/>
        <v>704.44000000000051</v>
      </c>
      <c r="H111" s="15">
        <f t="shared" si="25"/>
        <v>2495.800000000002</v>
      </c>
      <c r="I111" s="15">
        <f t="shared" si="25"/>
        <v>4518.0099999999984</v>
      </c>
      <c r="J111" s="15">
        <f t="shared" si="25"/>
        <v>7265.4600000000028</v>
      </c>
    </row>
    <row r="112" spans="1:10" x14ac:dyDescent="0.3">
      <c r="A112" s="16" t="s">
        <v>36</v>
      </c>
      <c r="B112" s="17" t="s">
        <v>28</v>
      </c>
      <c r="C112" s="18"/>
      <c r="D112" s="15">
        <f t="shared" si="25"/>
        <v>0</v>
      </c>
      <c r="E112" s="15">
        <f t="shared" si="25"/>
        <v>0</v>
      </c>
      <c r="F112" s="15">
        <f t="shared" si="25"/>
        <v>2649.16</v>
      </c>
      <c r="G112" s="15">
        <f t="shared" si="25"/>
        <v>5970.33</v>
      </c>
      <c r="H112" s="15">
        <f t="shared" si="25"/>
        <v>6396.79</v>
      </c>
      <c r="I112" s="15">
        <f t="shared" si="25"/>
        <v>6396.8</v>
      </c>
      <c r="J112" s="15">
        <f t="shared" si="25"/>
        <v>6396.8</v>
      </c>
    </row>
    <row r="113" spans="1:10" x14ac:dyDescent="0.3">
      <c r="A113" s="16" t="s">
        <v>37</v>
      </c>
      <c r="B113" s="17" t="s">
        <v>28</v>
      </c>
      <c r="C113" s="18"/>
      <c r="D113" s="15">
        <f t="shared" si="25"/>
        <v>0</v>
      </c>
      <c r="E113" s="15">
        <f t="shared" si="25"/>
        <v>0</v>
      </c>
      <c r="F113" s="15">
        <f t="shared" si="25"/>
        <v>400</v>
      </c>
      <c r="G113" s="15">
        <f t="shared" si="25"/>
        <v>967.44000000000051</v>
      </c>
      <c r="H113" s="15">
        <f t="shared" si="25"/>
        <v>6874.6699999999983</v>
      </c>
      <c r="I113" s="15">
        <f t="shared" si="25"/>
        <v>9065.7799999999988</v>
      </c>
      <c r="J113" s="15">
        <f t="shared" si="25"/>
        <v>9310</v>
      </c>
    </row>
    <row r="114" spans="1:10" x14ac:dyDescent="0.3">
      <c r="A114" s="16" t="s">
        <v>38</v>
      </c>
      <c r="B114" s="17" t="s">
        <v>28</v>
      </c>
      <c r="C114" s="18"/>
      <c r="D114" s="15">
        <f t="shared" si="25"/>
        <v>0</v>
      </c>
      <c r="E114" s="15">
        <f t="shared" si="25"/>
        <v>0</v>
      </c>
      <c r="F114" s="15">
        <f t="shared" si="25"/>
        <v>4416.239999999998</v>
      </c>
      <c r="G114" s="15">
        <f t="shared" si="25"/>
        <v>15454.480000000005</v>
      </c>
      <c r="H114" s="15">
        <f t="shared" si="25"/>
        <v>26962.800000000003</v>
      </c>
      <c r="I114" s="15">
        <f t="shared" si="25"/>
        <v>38508.53</v>
      </c>
      <c r="J114" s="15">
        <f t="shared" si="25"/>
        <v>45253.91</v>
      </c>
    </row>
    <row r="115" spans="1:10" x14ac:dyDescent="0.3">
      <c r="A115" s="16" t="s">
        <v>39</v>
      </c>
      <c r="B115" s="17" t="s">
        <v>28</v>
      </c>
      <c r="C115" s="18"/>
      <c r="D115" s="15">
        <f t="shared" si="25"/>
        <v>0</v>
      </c>
      <c r="E115" s="15">
        <f t="shared" si="25"/>
        <v>-2.9999999999972715E-2</v>
      </c>
      <c r="F115" s="15">
        <f t="shared" si="25"/>
        <v>0</v>
      </c>
      <c r="G115" s="15">
        <f t="shared" si="25"/>
        <v>1655.1900000000005</v>
      </c>
      <c r="H115" s="15">
        <f t="shared" si="25"/>
        <v>6703.9100000000008</v>
      </c>
      <c r="I115" s="15">
        <f t="shared" si="25"/>
        <v>13849.580000000004</v>
      </c>
      <c r="J115" s="15">
        <f t="shared" si="25"/>
        <v>14730.53</v>
      </c>
    </row>
    <row r="116" spans="1:10" x14ac:dyDescent="0.3">
      <c r="A116" s="19" t="s">
        <v>40</v>
      </c>
      <c r="B116" s="20" t="s">
        <v>28</v>
      </c>
      <c r="C116" s="21"/>
      <c r="D116" s="15">
        <f t="shared" si="25"/>
        <v>0</v>
      </c>
      <c r="E116" s="15">
        <f t="shared" si="25"/>
        <v>0</v>
      </c>
      <c r="F116" s="15">
        <f t="shared" si="25"/>
        <v>0</v>
      </c>
      <c r="G116" s="15">
        <f t="shared" si="25"/>
        <v>0</v>
      </c>
      <c r="H116" s="15">
        <f t="shared" si="25"/>
        <v>0</v>
      </c>
      <c r="I116" s="15">
        <f t="shared" si="25"/>
        <v>0</v>
      </c>
      <c r="J116" s="15">
        <f t="shared" si="25"/>
        <v>0</v>
      </c>
    </row>
  </sheetData>
  <pageMargins left="0.7" right="0.7" top="0.75" bottom="0.75" header="0.3" footer="0.3"/>
  <pageSetup scale="85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F1D6B-F25E-4171-BD83-D5DB0331CAA6}">
  <dimension ref="B1:G17"/>
  <sheetViews>
    <sheetView workbookViewId="0">
      <selection activeCell="B1" sqref="B1"/>
    </sheetView>
  </sheetViews>
  <sheetFormatPr defaultRowHeight="14.4" x14ac:dyDescent="0.3"/>
  <cols>
    <col min="2" max="2" width="32.77734375" bestFit="1" customWidth="1"/>
    <col min="3" max="3" width="36.44140625" bestFit="1" customWidth="1"/>
    <col min="4" max="4" width="32.21875" bestFit="1" customWidth="1"/>
    <col min="5" max="5" width="14" bestFit="1" customWidth="1"/>
    <col min="6" max="6" width="10.33203125" bestFit="1" customWidth="1"/>
    <col min="7" max="7" width="70.33203125" bestFit="1" customWidth="1"/>
  </cols>
  <sheetData>
    <row r="1" spans="2:7" x14ac:dyDescent="0.3">
      <c r="B1" s="1" t="s">
        <v>123</v>
      </c>
    </row>
    <row r="3" spans="2:7" x14ac:dyDescent="0.3">
      <c r="E3" t="s">
        <v>1</v>
      </c>
      <c r="F3" t="s">
        <v>95</v>
      </c>
    </row>
    <row r="4" spans="2:7" x14ac:dyDescent="0.3">
      <c r="B4" s="63" t="s">
        <v>63</v>
      </c>
      <c r="C4" t="s">
        <v>64</v>
      </c>
      <c r="D4" t="s">
        <v>65</v>
      </c>
      <c r="E4" t="s">
        <v>94</v>
      </c>
      <c r="F4" t="s">
        <v>96</v>
      </c>
      <c r="G4" t="s">
        <v>97</v>
      </c>
    </row>
    <row r="5" spans="2:7" x14ac:dyDescent="0.3">
      <c r="B5" s="64" t="s">
        <v>66</v>
      </c>
      <c r="C5" t="s">
        <v>67</v>
      </c>
      <c r="D5" t="s">
        <v>68</v>
      </c>
      <c r="E5" t="s">
        <v>98</v>
      </c>
      <c r="F5" t="s">
        <v>99</v>
      </c>
      <c r="G5" t="s">
        <v>100</v>
      </c>
    </row>
    <row r="6" spans="2:7" x14ac:dyDescent="0.3">
      <c r="B6" s="64" t="s">
        <v>69</v>
      </c>
      <c r="C6" t="s">
        <v>70</v>
      </c>
      <c r="D6" t="s">
        <v>71</v>
      </c>
      <c r="E6" t="s">
        <v>101</v>
      </c>
      <c r="F6" t="s">
        <v>99</v>
      </c>
      <c r="G6" t="s">
        <v>102</v>
      </c>
    </row>
    <row r="7" spans="2:7" x14ac:dyDescent="0.3">
      <c r="B7" s="85" t="s">
        <v>72</v>
      </c>
      <c r="C7" t="s">
        <v>73</v>
      </c>
      <c r="D7" t="s">
        <v>77</v>
      </c>
      <c r="E7" t="s">
        <v>99</v>
      </c>
      <c r="F7" t="s">
        <v>99</v>
      </c>
      <c r="G7" t="s">
        <v>103</v>
      </c>
    </row>
    <row r="8" spans="2:7" x14ac:dyDescent="0.3">
      <c r="B8" s="85"/>
      <c r="C8" t="s">
        <v>74</v>
      </c>
      <c r="D8" t="s">
        <v>77</v>
      </c>
      <c r="E8" t="s">
        <v>99</v>
      </c>
      <c r="F8" t="s">
        <v>99</v>
      </c>
      <c r="G8" t="s">
        <v>104</v>
      </c>
    </row>
    <row r="9" spans="2:7" x14ac:dyDescent="0.3">
      <c r="B9" s="85"/>
      <c r="C9" t="s">
        <v>75</v>
      </c>
      <c r="D9" t="s">
        <v>78</v>
      </c>
      <c r="E9" t="s">
        <v>113</v>
      </c>
      <c r="F9" t="s">
        <v>99</v>
      </c>
      <c r="G9" t="s">
        <v>105</v>
      </c>
    </row>
    <row r="10" spans="2:7" x14ac:dyDescent="0.3">
      <c r="B10" s="85"/>
      <c r="C10" t="s">
        <v>76</v>
      </c>
      <c r="D10" t="s">
        <v>79</v>
      </c>
      <c r="E10" t="s">
        <v>113</v>
      </c>
      <c r="F10" t="s">
        <v>101</v>
      </c>
      <c r="G10" t="s">
        <v>105</v>
      </c>
    </row>
    <row r="11" spans="2:7" x14ac:dyDescent="0.3">
      <c r="B11" s="64" t="s">
        <v>80</v>
      </c>
      <c r="C11" t="s">
        <v>81</v>
      </c>
      <c r="D11" t="s">
        <v>78</v>
      </c>
      <c r="E11" t="s">
        <v>101</v>
      </c>
      <c r="F11" t="s">
        <v>101</v>
      </c>
      <c r="G11" t="s">
        <v>106</v>
      </c>
    </row>
    <row r="12" spans="2:7" x14ac:dyDescent="0.3">
      <c r="B12" s="64"/>
      <c r="C12" t="s">
        <v>82</v>
      </c>
      <c r="D12" t="s">
        <v>78</v>
      </c>
      <c r="E12" t="s">
        <v>101</v>
      </c>
      <c r="F12" t="s">
        <v>98</v>
      </c>
      <c r="G12" t="s">
        <v>107</v>
      </c>
    </row>
    <row r="13" spans="2:7" x14ac:dyDescent="0.3">
      <c r="B13" s="64" t="s">
        <v>83</v>
      </c>
      <c r="C13" t="s">
        <v>84</v>
      </c>
      <c r="D13" t="s">
        <v>79</v>
      </c>
      <c r="E13" t="s">
        <v>98</v>
      </c>
      <c r="F13" t="s">
        <v>101</v>
      </c>
      <c r="G13" t="s">
        <v>114</v>
      </c>
    </row>
    <row r="14" spans="2:7" x14ac:dyDescent="0.3">
      <c r="B14" s="64"/>
      <c r="C14" t="s">
        <v>85</v>
      </c>
      <c r="D14" t="s">
        <v>86</v>
      </c>
      <c r="E14" t="s">
        <v>98</v>
      </c>
      <c r="F14" t="s">
        <v>98</v>
      </c>
      <c r="G14" t="s">
        <v>108</v>
      </c>
    </row>
    <row r="15" spans="2:7" x14ac:dyDescent="0.3">
      <c r="B15" s="64" t="s">
        <v>87</v>
      </c>
      <c r="C15" t="s">
        <v>88</v>
      </c>
      <c r="D15" t="s">
        <v>89</v>
      </c>
      <c r="E15" t="s">
        <v>115</v>
      </c>
      <c r="F15" t="s">
        <v>98</v>
      </c>
      <c r="G15" t="s">
        <v>109</v>
      </c>
    </row>
    <row r="16" spans="2:7" x14ac:dyDescent="0.3">
      <c r="B16" s="64"/>
      <c r="C16" t="s">
        <v>90</v>
      </c>
      <c r="D16" t="s">
        <v>91</v>
      </c>
      <c r="E16" t="s">
        <v>98</v>
      </c>
      <c r="F16" t="s">
        <v>98</v>
      </c>
      <c r="G16" t="s">
        <v>110</v>
      </c>
    </row>
    <row r="17" spans="2:7" x14ac:dyDescent="0.3">
      <c r="B17" s="64" t="s">
        <v>116</v>
      </c>
      <c r="C17" t="s">
        <v>92</v>
      </c>
      <c r="D17" t="s">
        <v>93</v>
      </c>
      <c r="E17" t="s">
        <v>111</v>
      </c>
      <c r="F17" t="s">
        <v>101</v>
      </c>
      <c r="G17" t="s">
        <v>112</v>
      </c>
    </row>
  </sheetData>
  <mergeCells count="1">
    <mergeCell ref="B7:B10"/>
  </mergeCells>
  <hyperlinks>
    <hyperlink ref="B1" r:id="rId1" display="https://www.cell.com/joule/fulltext/S2542-4351(22)00405-6" xr:uid="{0D15F28E-8109-434C-BD90-CFEB0CBBE18F}"/>
  </hyperlinks>
  <pageMargins left="0.7" right="0.7" top="0.75" bottom="0.75" header="0.3" footer="0.3"/>
  <pageSetup orientation="portrait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Comparison</vt:lpstr>
      <vt:lpstr>CAC IA</vt:lpstr>
      <vt:lpstr>NYISO</vt:lpstr>
      <vt:lpstr>Integration Analysis</vt:lpstr>
      <vt:lpstr>NREL Table 1</vt:lpstr>
      <vt:lpstr>Comparison!Print_Area</vt:lpstr>
      <vt:lpstr>'Integration Analysis'!Print_Area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 Caiazza</dc:creator>
  <cp:lastModifiedBy>Roger Caiazza</cp:lastModifiedBy>
  <cp:lastPrinted>2022-06-06T23:09:20Z</cp:lastPrinted>
  <dcterms:created xsi:type="dcterms:W3CDTF">2022-06-06T18:56:23Z</dcterms:created>
  <dcterms:modified xsi:type="dcterms:W3CDTF">2022-10-29T13:52:47Z</dcterms:modified>
</cp:coreProperties>
</file>